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mc:AlternateContent xmlns:mc="http://schemas.openxmlformats.org/markup-compatibility/2006">
    <mc:Choice Requires="x15">
      <x15ac:absPath xmlns:x15ac="http://schemas.microsoft.com/office/spreadsheetml/2010/11/ac" url="https://dalberg1.sharepoint.com/sites/T_DA_FIM-Economic_Impact_Analysis/Shared Documents/General/6. Final Deliverables/"/>
    </mc:Choice>
  </mc:AlternateContent>
  <xr:revisionPtr revIDLastSave="92" documentId="8_{33738C4A-CBA1-4691-96D7-1D5033192870}" xr6:coauthVersionLast="47" xr6:coauthVersionMax="47" xr10:uidLastSave="{3F5E2E50-BCCB-434F-B0D3-55414A1B31AE}"/>
  <bookViews>
    <workbookView xWindow="25974" yWindow="-109" windowWidth="26301" windowHeight="14169" activeTab="17" xr2:uid="{2C287BD1-D1F7-4F94-B859-0A476F50BD38}"/>
  </bookViews>
  <sheets>
    <sheet name="Overview" sheetId="12" r:id="rId1"/>
    <sheet name="Definitions" sheetId="38" r:id="rId2"/>
    <sheet name="Assumptions" sheetId="44" r:id="rId3"/>
    <sheet name="Modeling logic" sheetId="31" r:id="rId4"/>
    <sheet name="Demographics" sheetId="5" r:id="rId5"/>
    <sheet name="National data" sheetId="35" r:id="rId6"/>
    <sheet name="Assumptions data" sheetId="24" r:id="rId7"/>
    <sheet name="Demand calc &gt;&gt;&gt;" sheetId="8" r:id="rId8"/>
    <sheet name="Health insurance data" sheetId="3" r:id="rId9"/>
    <sheet name="Health conditions data" sheetId="6" r:id="rId10"/>
    <sheet name="FIM interventions data" sheetId="18" r:id="rId11"/>
    <sheet name="Reimbursement data" sheetId="42" r:id="rId12"/>
    <sheet name="Supply calc &gt;&gt;&gt;" sheetId="9" r:id="rId13"/>
    <sheet name="Interventions cost" sheetId="26" r:id="rId14"/>
    <sheet name="Local food sourcing" sheetId="32" r:id="rId15"/>
    <sheet name="Food volume" sheetId="27" r:id="rId16"/>
    <sheet name="Econ calc&gt;&gt;&gt;" sheetId="28" r:id="rId17"/>
    <sheet name="Farms proportions" sheetId="29" r:id="rId18"/>
    <sheet name="Farm GDP" sheetId="39" r:id="rId19"/>
    <sheet name="Multipliers" sheetId="36" r:id="rId20"/>
  </sheets>
  <definedNames>
    <definedName name="_xlnm._FilterDatabase" localSheetId="6" hidden="1">'Assumptions data'!$A$1:$V$52</definedName>
    <definedName name="_xlnm._FilterDatabase" localSheetId="7" hidden="1">'Demand calc &gt;&gt;&gt;'!$A$1:$P$53</definedName>
    <definedName name="_xlnm._FilterDatabase" localSheetId="4" hidden="1">Demographics!$A$1:$AF$53</definedName>
    <definedName name="_xlnm._FilterDatabase" localSheetId="17" hidden="1">'Farms proportions'!$A$2:$AM$2</definedName>
    <definedName name="_xlnm._FilterDatabase" localSheetId="10" hidden="1">'FIM interventions data'!$A$1:$AU$52</definedName>
    <definedName name="_xlnm._FilterDatabase" localSheetId="9" hidden="1">'Health conditions data'!$A$1:$N$51</definedName>
    <definedName name="_xlnm._FilterDatabase" localSheetId="8" hidden="1">'Health insurance data'!$A$1:$AX$51</definedName>
    <definedName name="_xlnm._FilterDatabase" localSheetId="13" hidden="1">'Interventions cost'!$A$1:$X$52</definedName>
    <definedName name="_xlnm._FilterDatabase" localSheetId="14" hidden="1">'Local food sourcing'!$A$1:$I$1</definedName>
    <definedName name="_xlnm._FilterDatabase" localSheetId="5" hidden="1">'National data'!$A$2:$Z$53</definedName>
    <definedName name="_xlnm._FilterDatabase" localSheetId="12" hidden="1">'Supply calc &gt;&gt;&gt;'!$A$1:$D$53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9" i="31" l="1"/>
  <c r="AR2" i="26"/>
  <c r="AS2" i="26"/>
  <c r="AT2" i="26"/>
  <c r="AU2" i="26"/>
  <c r="AR3" i="26"/>
  <c r="AS3" i="26"/>
  <c r="AT3" i="26"/>
  <c r="AU3" i="26"/>
  <c r="AR4" i="26"/>
  <c r="AS4" i="26"/>
  <c r="AT4" i="26"/>
  <c r="AU4" i="26"/>
  <c r="AR5" i="26"/>
  <c r="AS5" i="26"/>
  <c r="AT5" i="26"/>
  <c r="AU5" i="26"/>
  <c r="AR6" i="26"/>
  <c r="AS6" i="26"/>
  <c r="AT6" i="26"/>
  <c r="AU6" i="26"/>
  <c r="AR7" i="26"/>
  <c r="AS7" i="26"/>
  <c r="AT7" i="26"/>
  <c r="AU7" i="26"/>
  <c r="AR8" i="26"/>
  <c r="AS8" i="26"/>
  <c r="AT8" i="26"/>
  <c r="AU8" i="26"/>
  <c r="AR9" i="26"/>
  <c r="AS9" i="26"/>
  <c r="AT9" i="26"/>
  <c r="AU9" i="26"/>
  <c r="AR10" i="26"/>
  <c r="AS10" i="26"/>
  <c r="AT10" i="26"/>
  <c r="AU10" i="26"/>
  <c r="AR11" i="26"/>
  <c r="AS11" i="26"/>
  <c r="AT11" i="26"/>
  <c r="AU11" i="26"/>
  <c r="AR12" i="26"/>
  <c r="AS12" i="26"/>
  <c r="AT12" i="26"/>
  <c r="AU12" i="26"/>
  <c r="AR13" i="26"/>
  <c r="AS13" i="26"/>
  <c r="AT13" i="26"/>
  <c r="AU13" i="26"/>
  <c r="AR14" i="26"/>
  <c r="AS14" i="26"/>
  <c r="AT14" i="26"/>
  <c r="AU14" i="26"/>
  <c r="AR15" i="26"/>
  <c r="AS15" i="26"/>
  <c r="AT15" i="26"/>
  <c r="AU15" i="26"/>
  <c r="AR16" i="26"/>
  <c r="AS16" i="26"/>
  <c r="AT16" i="26"/>
  <c r="AU16" i="26"/>
  <c r="AR17" i="26"/>
  <c r="AS17" i="26"/>
  <c r="AT17" i="26"/>
  <c r="AU17" i="26"/>
  <c r="AR18" i="26"/>
  <c r="AS18" i="26"/>
  <c r="AT18" i="26"/>
  <c r="AU18" i="26"/>
  <c r="AR19" i="26"/>
  <c r="AS19" i="26"/>
  <c r="AT19" i="26"/>
  <c r="AU19" i="26"/>
  <c r="AR20" i="26"/>
  <c r="AS20" i="26"/>
  <c r="AT20" i="26"/>
  <c r="AU20" i="26"/>
  <c r="AR21" i="26"/>
  <c r="AS21" i="26"/>
  <c r="AT21" i="26"/>
  <c r="AU21" i="26"/>
  <c r="AR22" i="26"/>
  <c r="AS22" i="26"/>
  <c r="AT22" i="26"/>
  <c r="AU22" i="26"/>
  <c r="AR23" i="26"/>
  <c r="AS23" i="26"/>
  <c r="AT23" i="26"/>
  <c r="AU23" i="26"/>
  <c r="AR24" i="26"/>
  <c r="AS24" i="26"/>
  <c r="AT24" i="26"/>
  <c r="AU24" i="26"/>
  <c r="AR25" i="26"/>
  <c r="AS25" i="26"/>
  <c r="AT25" i="26"/>
  <c r="AU25" i="26"/>
  <c r="AR26" i="26"/>
  <c r="AS26" i="26"/>
  <c r="AT26" i="26"/>
  <c r="AU26" i="26"/>
  <c r="AR27" i="26"/>
  <c r="AS27" i="26"/>
  <c r="AT27" i="26"/>
  <c r="AU27" i="26"/>
  <c r="AR28" i="26"/>
  <c r="AS28" i="26"/>
  <c r="AT28" i="26"/>
  <c r="AU28" i="26"/>
  <c r="AR29" i="26"/>
  <c r="AS29" i="26"/>
  <c r="AT29" i="26"/>
  <c r="AU29" i="26"/>
  <c r="AR30" i="26"/>
  <c r="AS30" i="26"/>
  <c r="AT30" i="26"/>
  <c r="AU30" i="26"/>
  <c r="AR31" i="26"/>
  <c r="AS31" i="26"/>
  <c r="AT31" i="26"/>
  <c r="AU31" i="26"/>
  <c r="AR32" i="26"/>
  <c r="AS32" i="26"/>
  <c r="AT32" i="26"/>
  <c r="AU32" i="26"/>
  <c r="AR33" i="26"/>
  <c r="AS33" i="26"/>
  <c r="AT33" i="26"/>
  <c r="AU33" i="26"/>
  <c r="AR34" i="26"/>
  <c r="AS34" i="26"/>
  <c r="AT34" i="26"/>
  <c r="AU34" i="26"/>
  <c r="AR35" i="26"/>
  <c r="AS35" i="26"/>
  <c r="AT35" i="26"/>
  <c r="AU35" i="26"/>
  <c r="AR36" i="26"/>
  <c r="AS36" i="26"/>
  <c r="AT36" i="26"/>
  <c r="AU36" i="26"/>
  <c r="AR37" i="26"/>
  <c r="AS37" i="26"/>
  <c r="AT37" i="26"/>
  <c r="AU37" i="26"/>
  <c r="AR38" i="26"/>
  <c r="AS38" i="26"/>
  <c r="AT38" i="26"/>
  <c r="AU38" i="26"/>
  <c r="AR39" i="26"/>
  <c r="AS39" i="26"/>
  <c r="AT39" i="26"/>
  <c r="AU39" i="26"/>
  <c r="AR40" i="26"/>
  <c r="AS40" i="26"/>
  <c r="AT40" i="26"/>
  <c r="AU40" i="26"/>
  <c r="AR41" i="26"/>
  <c r="AS41" i="26"/>
  <c r="AT41" i="26"/>
  <c r="AU41" i="26"/>
  <c r="AR42" i="26"/>
  <c r="AS42" i="26"/>
  <c r="AT42" i="26"/>
  <c r="AU42" i="26"/>
  <c r="AR43" i="26"/>
  <c r="AS43" i="26"/>
  <c r="AT43" i="26"/>
  <c r="AU43" i="26"/>
  <c r="AR44" i="26"/>
  <c r="AS44" i="26"/>
  <c r="AT44" i="26"/>
  <c r="AU44" i="26"/>
  <c r="AR45" i="26"/>
  <c r="AS45" i="26"/>
  <c r="AT45" i="26"/>
  <c r="AU45" i="26"/>
  <c r="AR46" i="26"/>
  <c r="AS46" i="26"/>
  <c r="AT46" i="26"/>
  <c r="AU46" i="26"/>
  <c r="AR47" i="26"/>
  <c r="AS47" i="26"/>
  <c r="AT47" i="26"/>
  <c r="AU47" i="26"/>
  <c r="AR48" i="26"/>
  <c r="AS48" i="26"/>
  <c r="AT48" i="26"/>
  <c r="AU48" i="26"/>
  <c r="AR49" i="26"/>
  <c r="AS49" i="26"/>
  <c r="AT49" i="26"/>
  <c r="AU49" i="26"/>
  <c r="AR50" i="26"/>
  <c r="AS50" i="26"/>
  <c r="AT50" i="26"/>
  <c r="AU50" i="26"/>
  <c r="AR51" i="26"/>
  <c r="AS51" i="26"/>
  <c r="AT51" i="26"/>
  <c r="AU51" i="26"/>
  <c r="AX23" i="26"/>
  <c r="AW23" i="26"/>
  <c r="AV23" i="26"/>
  <c r="BF3" i="28"/>
  <c r="BF4" i="28"/>
  <c r="BF5" i="28"/>
  <c r="BF6" i="28"/>
  <c r="BF7" i="28"/>
  <c r="BF8" i="28"/>
  <c r="BF9" i="28"/>
  <c r="BF10" i="28"/>
  <c r="BF11" i="28"/>
  <c r="BF12" i="28"/>
  <c r="BF13" i="28"/>
  <c r="BF14" i="28"/>
  <c r="BF15" i="28"/>
  <c r="BF16" i="28"/>
  <c r="BF17" i="28"/>
  <c r="BF18" i="28"/>
  <c r="BF19" i="28"/>
  <c r="BF20" i="28"/>
  <c r="BF21" i="28"/>
  <c r="BF22" i="28"/>
  <c r="BF23" i="28"/>
  <c r="BF24" i="28"/>
  <c r="BF25" i="28"/>
  <c r="BF26" i="28"/>
  <c r="BF27" i="28"/>
  <c r="BF28" i="28"/>
  <c r="BF29" i="28"/>
  <c r="BF30" i="28"/>
  <c r="BF31" i="28"/>
  <c r="BF32" i="28"/>
  <c r="BF33" i="28"/>
  <c r="BF34" i="28"/>
  <c r="BF35" i="28"/>
  <c r="BF36" i="28"/>
  <c r="BF37" i="28"/>
  <c r="BF38" i="28"/>
  <c r="BF39" i="28"/>
  <c r="BF40" i="28"/>
  <c r="BF41" i="28"/>
  <c r="BF42" i="28"/>
  <c r="BF43" i="28"/>
  <c r="BF44" i="28"/>
  <c r="BF45" i="28"/>
  <c r="BF46" i="28"/>
  <c r="BF47" i="28"/>
  <c r="BF48" i="28"/>
  <c r="BF49" i="28"/>
  <c r="BF50" i="28"/>
  <c r="BF51" i="28"/>
  <c r="BF2" i="28"/>
  <c r="BD3" i="28"/>
  <c r="BD4" i="28"/>
  <c r="BD5" i="28"/>
  <c r="BD6" i="28"/>
  <c r="BD7" i="28"/>
  <c r="BD8" i="28"/>
  <c r="BD9" i="28"/>
  <c r="BD10" i="28"/>
  <c r="BD11" i="28"/>
  <c r="BD12" i="28"/>
  <c r="BD13" i="28"/>
  <c r="BD14" i="28"/>
  <c r="BD15" i="28"/>
  <c r="BD16" i="28"/>
  <c r="BD17" i="28"/>
  <c r="BD18" i="28"/>
  <c r="BD19" i="28"/>
  <c r="BD20" i="28"/>
  <c r="BD21" i="28"/>
  <c r="BD22" i="28"/>
  <c r="BD23" i="28"/>
  <c r="BD24" i="28"/>
  <c r="BD25" i="28"/>
  <c r="BD26" i="28"/>
  <c r="BD27" i="28"/>
  <c r="BD28" i="28"/>
  <c r="BD29" i="28"/>
  <c r="BD30" i="28"/>
  <c r="BD31" i="28"/>
  <c r="BD32" i="28"/>
  <c r="BD33" i="28"/>
  <c r="BD34" i="28"/>
  <c r="BD35" i="28"/>
  <c r="BD36" i="28"/>
  <c r="BD37" i="28"/>
  <c r="BD38" i="28"/>
  <c r="BD39" i="28"/>
  <c r="BD40" i="28"/>
  <c r="BD41" i="28"/>
  <c r="BD42" i="28"/>
  <c r="BD43" i="28"/>
  <c r="BD44" i="28"/>
  <c r="BD45" i="28"/>
  <c r="BD46" i="28"/>
  <c r="BD47" i="28"/>
  <c r="BD48" i="28"/>
  <c r="BD49" i="28"/>
  <c r="BD50" i="28"/>
  <c r="BD51" i="28"/>
  <c r="BD2" i="28"/>
  <c r="BA3" i="28"/>
  <c r="BA4" i="28"/>
  <c r="BA5" i="28"/>
  <c r="BA6" i="28"/>
  <c r="BA7" i="28"/>
  <c r="BA8" i="28"/>
  <c r="BA9" i="28"/>
  <c r="BA10" i="28"/>
  <c r="BA11" i="28"/>
  <c r="BA12" i="28"/>
  <c r="BA13" i="28"/>
  <c r="BA14" i="28"/>
  <c r="BA15" i="28"/>
  <c r="BA16" i="28"/>
  <c r="BA17" i="28"/>
  <c r="BA18" i="28"/>
  <c r="BA19" i="28"/>
  <c r="BA20" i="28"/>
  <c r="BA21" i="28"/>
  <c r="BA22" i="28"/>
  <c r="BA23" i="28"/>
  <c r="BA24" i="28"/>
  <c r="BA25" i="28"/>
  <c r="BA26" i="28"/>
  <c r="BA27" i="28"/>
  <c r="BA28" i="28"/>
  <c r="BA29" i="28"/>
  <c r="BA30" i="28"/>
  <c r="BA31" i="28"/>
  <c r="BA32" i="28"/>
  <c r="BA33" i="28"/>
  <c r="BA34" i="28"/>
  <c r="BA35" i="28"/>
  <c r="BA36" i="28"/>
  <c r="BA37" i="28"/>
  <c r="BA38" i="28"/>
  <c r="BA39" i="28"/>
  <c r="BA40" i="28"/>
  <c r="BA41" i="28"/>
  <c r="BA42" i="28"/>
  <c r="BA43" i="28"/>
  <c r="BA44" i="28"/>
  <c r="BA45" i="28"/>
  <c r="BA46" i="28"/>
  <c r="BA47" i="28"/>
  <c r="BA48" i="28"/>
  <c r="BA49" i="28"/>
  <c r="BA50" i="28"/>
  <c r="BA51" i="28"/>
  <c r="BA2" i="28"/>
  <c r="AY3" i="28"/>
  <c r="AY4" i="28"/>
  <c r="AY5" i="28"/>
  <c r="AY6" i="28"/>
  <c r="AY7" i="28"/>
  <c r="AY8" i="28"/>
  <c r="AY9" i="28"/>
  <c r="AY10" i="28"/>
  <c r="AY11" i="28"/>
  <c r="AY12" i="28"/>
  <c r="AY13" i="28"/>
  <c r="AY14" i="28"/>
  <c r="AY15" i="28"/>
  <c r="AY16" i="28"/>
  <c r="AY17" i="28"/>
  <c r="AY18" i="28"/>
  <c r="AY19" i="28"/>
  <c r="AY20" i="28"/>
  <c r="AY21" i="28"/>
  <c r="AY22" i="28"/>
  <c r="AY23" i="28"/>
  <c r="AY24" i="28"/>
  <c r="AY25" i="28"/>
  <c r="AY26" i="28"/>
  <c r="AY27" i="28"/>
  <c r="AY28" i="28"/>
  <c r="AY29" i="28"/>
  <c r="AY30" i="28"/>
  <c r="AY31" i="28"/>
  <c r="AY32" i="28"/>
  <c r="AY33" i="28"/>
  <c r="AY34" i="28"/>
  <c r="AY35" i="28"/>
  <c r="AY36" i="28"/>
  <c r="AY37" i="28"/>
  <c r="AY38" i="28"/>
  <c r="AY39" i="28"/>
  <c r="AY40" i="28"/>
  <c r="AY41" i="28"/>
  <c r="AY42" i="28"/>
  <c r="AY43" i="28"/>
  <c r="AY44" i="28"/>
  <c r="AY45" i="28"/>
  <c r="AY46" i="28"/>
  <c r="AY47" i="28"/>
  <c r="AY48" i="28"/>
  <c r="AY49" i="28"/>
  <c r="AY50" i="28"/>
  <c r="AY51" i="28"/>
  <c r="AY2" i="28"/>
  <c r="AV3" i="28"/>
  <c r="AV4" i="28"/>
  <c r="AV5" i="28"/>
  <c r="AV6" i="28"/>
  <c r="AV7" i="28"/>
  <c r="AV8" i="28"/>
  <c r="AV9" i="28"/>
  <c r="AV10" i="28"/>
  <c r="AV11" i="28"/>
  <c r="AV12" i="28"/>
  <c r="AV13" i="28"/>
  <c r="AV14" i="28"/>
  <c r="AV15" i="28"/>
  <c r="AV16" i="28"/>
  <c r="AV17" i="28"/>
  <c r="AV18" i="28"/>
  <c r="AV19" i="28"/>
  <c r="AV20" i="28"/>
  <c r="AV21" i="28"/>
  <c r="AV22" i="28"/>
  <c r="AV23" i="28"/>
  <c r="AV24" i="28"/>
  <c r="AV25" i="28"/>
  <c r="AV26" i="28"/>
  <c r="AV27" i="28"/>
  <c r="AV28" i="28"/>
  <c r="AV29" i="28"/>
  <c r="AV30" i="28"/>
  <c r="AV31" i="28"/>
  <c r="AV32" i="28"/>
  <c r="AV33" i="28"/>
  <c r="AV34" i="28"/>
  <c r="AV35" i="28"/>
  <c r="AV36" i="28"/>
  <c r="AV37" i="28"/>
  <c r="AV38" i="28"/>
  <c r="AV39" i="28"/>
  <c r="AV40" i="28"/>
  <c r="AV41" i="28"/>
  <c r="AV42" i="28"/>
  <c r="AV43" i="28"/>
  <c r="AV44" i="28"/>
  <c r="AV45" i="28"/>
  <c r="AV46" i="28"/>
  <c r="AV47" i="28"/>
  <c r="AV48" i="28"/>
  <c r="AV49" i="28"/>
  <c r="AV50" i="28"/>
  <c r="AV51" i="28"/>
  <c r="AV2" i="28"/>
  <c r="AT3" i="28"/>
  <c r="AT4" i="28"/>
  <c r="AT5" i="28"/>
  <c r="AT6" i="28"/>
  <c r="AT7" i="28"/>
  <c r="AT8" i="28"/>
  <c r="AT9" i="28"/>
  <c r="AT10" i="28"/>
  <c r="AT11" i="28"/>
  <c r="AT12" i="28"/>
  <c r="AT13" i="28"/>
  <c r="AT14" i="28"/>
  <c r="AT15" i="28"/>
  <c r="AT16" i="28"/>
  <c r="AT17" i="28"/>
  <c r="AT18" i="28"/>
  <c r="AT19" i="28"/>
  <c r="AT20" i="28"/>
  <c r="AT21" i="28"/>
  <c r="AT22" i="28"/>
  <c r="AT23" i="28"/>
  <c r="AT24" i="28"/>
  <c r="AT25" i="28"/>
  <c r="AT26" i="28"/>
  <c r="AT27" i="28"/>
  <c r="AT28" i="28"/>
  <c r="AT29" i="28"/>
  <c r="AT30" i="28"/>
  <c r="AT31" i="28"/>
  <c r="AT32" i="28"/>
  <c r="AT33" i="28"/>
  <c r="AT34" i="28"/>
  <c r="AT35" i="28"/>
  <c r="AT36" i="28"/>
  <c r="AT37" i="28"/>
  <c r="AT38" i="28"/>
  <c r="AT39" i="28"/>
  <c r="AT40" i="28"/>
  <c r="AT41" i="28"/>
  <c r="AT42" i="28"/>
  <c r="AT43" i="28"/>
  <c r="AT44" i="28"/>
  <c r="AT45" i="28"/>
  <c r="AT46" i="28"/>
  <c r="AT47" i="28"/>
  <c r="AT48" i="28"/>
  <c r="AT49" i="28"/>
  <c r="AT50" i="28"/>
  <c r="AT51" i="28"/>
  <c r="AT2" i="28"/>
  <c r="AQ3" i="28"/>
  <c r="AQ4" i="28"/>
  <c r="AQ5" i="28"/>
  <c r="AQ6" i="28"/>
  <c r="AQ7" i="28"/>
  <c r="AQ8" i="28"/>
  <c r="AQ9" i="28"/>
  <c r="AQ10" i="28"/>
  <c r="AQ11" i="28"/>
  <c r="AQ12" i="28"/>
  <c r="AQ13" i="28"/>
  <c r="AQ14" i="28"/>
  <c r="AQ15" i="28"/>
  <c r="AQ16" i="28"/>
  <c r="AQ17" i="28"/>
  <c r="AQ18" i="28"/>
  <c r="AQ19" i="28"/>
  <c r="AQ20" i="28"/>
  <c r="AQ21" i="28"/>
  <c r="AQ22" i="28"/>
  <c r="AQ23" i="28"/>
  <c r="AQ24" i="28"/>
  <c r="AQ25" i="28"/>
  <c r="AQ26" i="28"/>
  <c r="AQ27" i="28"/>
  <c r="AQ28" i="28"/>
  <c r="AQ29" i="28"/>
  <c r="AQ30" i="28"/>
  <c r="AQ31" i="28"/>
  <c r="AQ32" i="28"/>
  <c r="AQ33" i="28"/>
  <c r="AQ34" i="28"/>
  <c r="AQ35" i="28"/>
  <c r="AQ36" i="28"/>
  <c r="AQ37" i="28"/>
  <c r="AQ38" i="28"/>
  <c r="AQ39" i="28"/>
  <c r="AQ40" i="28"/>
  <c r="AQ41" i="28"/>
  <c r="AQ42" i="28"/>
  <c r="AQ43" i="28"/>
  <c r="AQ44" i="28"/>
  <c r="AQ45" i="28"/>
  <c r="AQ46" i="28"/>
  <c r="AQ47" i="28"/>
  <c r="AQ48" i="28"/>
  <c r="AQ49" i="28"/>
  <c r="AQ50" i="28"/>
  <c r="AQ51" i="28"/>
  <c r="AQ2" i="28"/>
  <c r="AO3" i="28"/>
  <c r="AO4" i="28"/>
  <c r="AO5" i="28"/>
  <c r="AO6" i="28"/>
  <c r="AO7" i="28"/>
  <c r="AO8" i="28"/>
  <c r="AO9" i="28"/>
  <c r="AO10" i="28"/>
  <c r="AO11" i="28"/>
  <c r="AO12" i="28"/>
  <c r="AO13" i="28"/>
  <c r="AO14" i="28"/>
  <c r="AO15" i="28"/>
  <c r="AO16" i="28"/>
  <c r="AO17" i="28"/>
  <c r="AO18" i="28"/>
  <c r="AO19" i="28"/>
  <c r="AO20" i="28"/>
  <c r="AO21" i="28"/>
  <c r="AO22" i="28"/>
  <c r="AO23" i="28"/>
  <c r="AO24" i="28"/>
  <c r="AO25" i="28"/>
  <c r="AO26" i="28"/>
  <c r="AO27" i="28"/>
  <c r="AO28" i="28"/>
  <c r="AO29" i="28"/>
  <c r="AO30" i="28"/>
  <c r="AO31" i="28"/>
  <c r="AO32" i="28"/>
  <c r="AO33" i="28"/>
  <c r="AO34" i="28"/>
  <c r="AO35" i="28"/>
  <c r="AO36" i="28"/>
  <c r="AO37" i="28"/>
  <c r="AO38" i="28"/>
  <c r="AO39" i="28"/>
  <c r="AO40" i="28"/>
  <c r="AO41" i="28"/>
  <c r="AO42" i="28"/>
  <c r="AO43" i="28"/>
  <c r="AO44" i="28"/>
  <c r="AO45" i="28"/>
  <c r="AO46" i="28"/>
  <c r="AO47" i="28"/>
  <c r="AO48" i="28"/>
  <c r="AO49" i="28"/>
  <c r="AO50" i="28"/>
  <c r="AO51" i="28"/>
  <c r="AO2" i="28"/>
  <c r="AL3" i="28"/>
  <c r="AL4" i="28"/>
  <c r="AL5" i="28"/>
  <c r="AL6" i="28"/>
  <c r="AL7" i="28"/>
  <c r="AL8" i="28"/>
  <c r="AL9" i="28"/>
  <c r="AL10" i="28"/>
  <c r="AL11" i="28"/>
  <c r="AL12" i="28"/>
  <c r="AL13" i="28"/>
  <c r="AL14" i="28"/>
  <c r="AL15" i="28"/>
  <c r="AL16" i="28"/>
  <c r="AL17" i="28"/>
  <c r="AL18" i="28"/>
  <c r="AL19" i="28"/>
  <c r="AL20" i="28"/>
  <c r="AL21" i="28"/>
  <c r="AL22" i="28"/>
  <c r="AL24" i="28"/>
  <c r="AL25" i="28"/>
  <c r="AL26" i="28"/>
  <c r="AL27" i="28"/>
  <c r="AL28" i="28"/>
  <c r="AL29" i="28"/>
  <c r="AL30" i="28"/>
  <c r="AL31" i="28"/>
  <c r="AL32" i="28"/>
  <c r="AL33" i="28"/>
  <c r="AL34" i="28"/>
  <c r="AL35" i="28"/>
  <c r="AL36" i="28"/>
  <c r="AL37" i="28"/>
  <c r="AL38" i="28"/>
  <c r="AL39" i="28"/>
  <c r="AL40" i="28"/>
  <c r="AL41" i="28"/>
  <c r="AL42" i="28"/>
  <c r="AL43" i="28"/>
  <c r="AL44" i="28"/>
  <c r="AL45" i="28"/>
  <c r="AL46" i="28"/>
  <c r="AL47" i="28"/>
  <c r="AL48" i="28"/>
  <c r="AL49" i="28"/>
  <c r="AL50" i="28"/>
  <c r="AL51" i="28"/>
  <c r="AL2" i="28"/>
  <c r="AJ3" i="28"/>
  <c r="AJ4" i="28"/>
  <c r="AJ5" i="28"/>
  <c r="AJ6" i="28"/>
  <c r="AJ7" i="28"/>
  <c r="AJ8" i="28"/>
  <c r="AJ9" i="28"/>
  <c r="AJ10" i="28"/>
  <c r="AJ11" i="28"/>
  <c r="AJ12" i="28"/>
  <c r="AJ13" i="28"/>
  <c r="AJ14" i="28"/>
  <c r="AJ15" i="28"/>
  <c r="AJ16" i="28"/>
  <c r="AJ17" i="28"/>
  <c r="AJ18" i="28"/>
  <c r="AJ19" i="28"/>
  <c r="AJ20" i="28"/>
  <c r="AJ21" i="28"/>
  <c r="AJ22" i="28"/>
  <c r="AJ24" i="28"/>
  <c r="AJ25" i="28"/>
  <c r="AJ26" i="28"/>
  <c r="AJ27" i="28"/>
  <c r="AJ28" i="28"/>
  <c r="AJ29" i="28"/>
  <c r="AJ30" i="28"/>
  <c r="AJ31" i="28"/>
  <c r="AJ32" i="28"/>
  <c r="AJ33" i="28"/>
  <c r="AJ34" i="28"/>
  <c r="AJ35" i="28"/>
  <c r="AJ36" i="28"/>
  <c r="AJ37" i="28"/>
  <c r="AJ38" i="28"/>
  <c r="AJ39" i="28"/>
  <c r="AJ40" i="28"/>
  <c r="AJ41" i="28"/>
  <c r="AJ42" i="28"/>
  <c r="AJ43" i="28"/>
  <c r="AJ44" i="28"/>
  <c r="AJ45" i="28"/>
  <c r="AJ46" i="28"/>
  <c r="AJ47" i="28"/>
  <c r="AJ48" i="28"/>
  <c r="AJ49" i="28"/>
  <c r="AJ50" i="28"/>
  <c r="AJ51" i="28"/>
  <c r="AJ2" i="28"/>
  <c r="AB3" i="28"/>
  <c r="AB4" i="28"/>
  <c r="AB5" i="28"/>
  <c r="AB6" i="28"/>
  <c r="AB7" i="28"/>
  <c r="AB8" i="28"/>
  <c r="AB9" i="28"/>
  <c r="AB10" i="28"/>
  <c r="AB11" i="28"/>
  <c r="AB12" i="28"/>
  <c r="AB13" i="28"/>
  <c r="AB14" i="28"/>
  <c r="AB15" i="28"/>
  <c r="AB16" i="28"/>
  <c r="AB17" i="28"/>
  <c r="AB18" i="28"/>
  <c r="AB19" i="28"/>
  <c r="AB20" i="28"/>
  <c r="AB21" i="28"/>
  <c r="AB22" i="28"/>
  <c r="AB23" i="28"/>
  <c r="AB24" i="28"/>
  <c r="AB25" i="28"/>
  <c r="AB26" i="28"/>
  <c r="AB27" i="28"/>
  <c r="AB28" i="28"/>
  <c r="AB29" i="28"/>
  <c r="AB30" i="28"/>
  <c r="AB31" i="28"/>
  <c r="AB32" i="28"/>
  <c r="AB33" i="28"/>
  <c r="AB34" i="28"/>
  <c r="AB35" i="28"/>
  <c r="AB36" i="28"/>
  <c r="AB37" i="28"/>
  <c r="AB38" i="28"/>
  <c r="AB39" i="28"/>
  <c r="AB40" i="28"/>
  <c r="AB41" i="28"/>
  <c r="AB42" i="28"/>
  <c r="AB43" i="28"/>
  <c r="AB44" i="28"/>
  <c r="AB45" i="28"/>
  <c r="AB46" i="28"/>
  <c r="AB47" i="28"/>
  <c r="AB48" i="28"/>
  <c r="AB49" i="28"/>
  <c r="AB50" i="28"/>
  <c r="AB51" i="28"/>
  <c r="AB2" i="28"/>
  <c r="Z3" i="28"/>
  <c r="Z4" i="28"/>
  <c r="Z5" i="28"/>
  <c r="Z6" i="28"/>
  <c r="Z7" i="28"/>
  <c r="Z8" i="28"/>
  <c r="Z9" i="28"/>
  <c r="Z10" i="28"/>
  <c r="Z11" i="28"/>
  <c r="Z12" i="28"/>
  <c r="Z13" i="28"/>
  <c r="Z14" i="28"/>
  <c r="Z15" i="28"/>
  <c r="Z16" i="28"/>
  <c r="Z17" i="28"/>
  <c r="Z18" i="28"/>
  <c r="Z19" i="28"/>
  <c r="Z20" i="28"/>
  <c r="Z21" i="28"/>
  <c r="Z22" i="28"/>
  <c r="Z23" i="28"/>
  <c r="Z24" i="28"/>
  <c r="Z25" i="28"/>
  <c r="Z26" i="28"/>
  <c r="Z27" i="28"/>
  <c r="Z28" i="28"/>
  <c r="Z29" i="28"/>
  <c r="Z30" i="28"/>
  <c r="Z31" i="28"/>
  <c r="Z32" i="28"/>
  <c r="Z33" i="28"/>
  <c r="Z34" i="28"/>
  <c r="Z35" i="28"/>
  <c r="Z36" i="28"/>
  <c r="Z37" i="28"/>
  <c r="Z38" i="28"/>
  <c r="Z39" i="28"/>
  <c r="Z40" i="28"/>
  <c r="Z41" i="28"/>
  <c r="Z42" i="28"/>
  <c r="Z43" i="28"/>
  <c r="Z44" i="28"/>
  <c r="Z45" i="28"/>
  <c r="Z46" i="28"/>
  <c r="Z47" i="28"/>
  <c r="Z48" i="28"/>
  <c r="Z49" i="28"/>
  <c r="Z50" i="28"/>
  <c r="Z51" i="28"/>
  <c r="Z2" i="28"/>
  <c r="W3" i="28"/>
  <c r="W4" i="28"/>
  <c r="W5" i="28"/>
  <c r="W6" i="28"/>
  <c r="W7" i="28"/>
  <c r="W8" i="28"/>
  <c r="W9" i="28"/>
  <c r="W10" i="28"/>
  <c r="W11" i="28"/>
  <c r="W12" i="28"/>
  <c r="W13" i="28"/>
  <c r="W14" i="28"/>
  <c r="W15" i="28"/>
  <c r="W16" i="28"/>
  <c r="W17" i="28"/>
  <c r="W18" i="28"/>
  <c r="W19" i="28"/>
  <c r="W20" i="28"/>
  <c r="W21" i="28"/>
  <c r="W22" i="28"/>
  <c r="W23" i="28"/>
  <c r="W24" i="28"/>
  <c r="W25" i="28"/>
  <c r="W26" i="28"/>
  <c r="W27" i="28"/>
  <c r="W28" i="28"/>
  <c r="W29" i="28"/>
  <c r="W30" i="28"/>
  <c r="W31" i="28"/>
  <c r="W32" i="28"/>
  <c r="W33" i="28"/>
  <c r="W34" i="28"/>
  <c r="W35" i="28"/>
  <c r="W36" i="28"/>
  <c r="W37" i="28"/>
  <c r="W38" i="28"/>
  <c r="W39" i="28"/>
  <c r="W40" i="28"/>
  <c r="W41" i="28"/>
  <c r="W42" i="28"/>
  <c r="W43" i="28"/>
  <c r="W44" i="28"/>
  <c r="W45" i="28"/>
  <c r="W46" i="28"/>
  <c r="W47" i="28"/>
  <c r="W48" i="28"/>
  <c r="W49" i="28"/>
  <c r="W50" i="28"/>
  <c r="W51" i="28"/>
  <c r="W2" i="28"/>
  <c r="U3" i="28"/>
  <c r="U4" i="28"/>
  <c r="U5" i="28"/>
  <c r="U6" i="28"/>
  <c r="U7" i="28"/>
  <c r="U8" i="28"/>
  <c r="U9" i="28"/>
  <c r="U10" i="28"/>
  <c r="U11" i="28"/>
  <c r="U12" i="28"/>
  <c r="U13" i="28"/>
  <c r="U14" i="28"/>
  <c r="U15" i="28"/>
  <c r="U16" i="28"/>
  <c r="U17" i="28"/>
  <c r="U18" i="28"/>
  <c r="U19" i="28"/>
  <c r="U20" i="28"/>
  <c r="U21" i="28"/>
  <c r="U22" i="28"/>
  <c r="U23" i="28"/>
  <c r="U24" i="28"/>
  <c r="U25" i="28"/>
  <c r="U26" i="28"/>
  <c r="U27" i="28"/>
  <c r="U28" i="28"/>
  <c r="U29" i="28"/>
  <c r="U30" i="28"/>
  <c r="U31" i="28"/>
  <c r="U32" i="28"/>
  <c r="U33" i="28"/>
  <c r="U34" i="28"/>
  <c r="U35" i="28"/>
  <c r="U36" i="28"/>
  <c r="U37" i="28"/>
  <c r="U38" i="28"/>
  <c r="U39" i="28"/>
  <c r="U40" i="28"/>
  <c r="U41" i="28"/>
  <c r="U42" i="28"/>
  <c r="U43" i="28"/>
  <c r="U44" i="28"/>
  <c r="U45" i="28"/>
  <c r="U46" i="28"/>
  <c r="U47" i="28"/>
  <c r="U48" i="28"/>
  <c r="U49" i="28"/>
  <c r="U50" i="28"/>
  <c r="U51" i="28"/>
  <c r="U2" i="28"/>
  <c r="R3" i="28"/>
  <c r="R4" i="28"/>
  <c r="R5" i="28"/>
  <c r="R6" i="28"/>
  <c r="R7" i="28"/>
  <c r="R8" i="28"/>
  <c r="R9" i="28"/>
  <c r="R10" i="28"/>
  <c r="R11" i="28"/>
  <c r="R12" i="28"/>
  <c r="R13" i="28"/>
  <c r="R14" i="28"/>
  <c r="R15" i="28"/>
  <c r="R16" i="28"/>
  <c r="R17" i="28"/>
  <c r="R18" i="28"/>
  <c r="R19" i="28"/>
  <c r="R20" i="28"/>
  <c r="R21" i="28"/>
  <c r="R22" i="28"/>
  <c r="R23" i="28"/>
  <c r="R24" i="28"/>
  <c r="R25" i="28"/>
  <c r="R26" i="28"/>
  <c r="R27" i="28"/>
  <c r="R28" i="28"/>
  <c r="R29" i="28"/>
  <c r="R30" i="28"/>
  <c r="R31" i="28"/>
  <c r="R32" i="28"/>
  <c r="R33" i="28"/>
  <c r="R34" i="28"/>
  <c r="R35" i="28"/>
  <c r="R36" i="28"/>
  <c r="R37" i="28"/>
  <c r="R38" i="28"/>
  <c r="R39" i="28"/>
  <c r="R40" i="28"/>
  <c r="R41" i="28"/>
  <c r="R42" i="28"/>
  <c r="R43" i="28"/>
  <c r="R44" i="28"/>
  <c r="R45" i="28"/>
  <c r="R46" i="28"/>
  <c r="R47" i="28"/>
  <c r="R48" i="28"/>
  <c r="R49" i="28"/>
  <c r="R50" i="28"/>
  <c r="R51" i="28"/>
  <c r="R2" i="28"/>
  <c r="P3" i="28"/>
  <c r="P4" i="28"/>
  <c r="P5" i="28"/>
  <c r="P6" i="28"/>
  <c r="P7" i="28"/>
  <c r="P8" i="28"/>
  <c r="P9" i="28"/>
  <c r="P10" i="28"/>
  <c r="P11" i="28"/>
  <c r="P12" i="28"/>
  <c r="P13" i="28"/>
  <c r="P14" i="28"/>
  <c r="P15" i="28"/>
  <c r="P16" i="28"/>
  <c r="P17" i="28"/>
  <c r="P18" i="28"/>
  <c r="P19" i="28"/>
  <c r="P20" i="28"/>
  <c r="P21" i="28"/>
  <c r="P22" i="28"/>
  <c r="P23" i="28"/>
  <c r="P24" i="28"/>
  <c r="P25" i="28"/>
  <c r="P26" i="28"/>
  <c r="P27" i="28"/>
  <c r="P28" i="28"/>
  <c r="P29" i="28"/>
  <c r="P30" i="28"/>
  <c r="P31" i="28"/>
  <c r="P32" i="28"/>
  <c r="P33" i="28"/>
  <c r="P34" i="28"/>
  <c r="P35" i="28"/>
  <c r="P36" i="28"/>
  <c r="P37" i="28"/>
  <c r="P38" i="28"/>
  <c r="P39" i="28"/>
  <c r="P40" i="28"/>
  <c r="P41" i="28"/>
  <c r="P42" i="28"/>
  <c r="P43" i="28"/>
  <c r="P44" i="28"/>
  <c r="P45" i="28"/>
  <c r="P46" i="28"/>
  <c r="P47" i="28"/>
  <c r="P48" i="28"/>
  <c r="P49" i="28"/>
  <c r="P50" i="28"/>
  <c r="P51" i="28"/>
  <c r="P2" i="28"/>
  <c r="M3" i="28"/>
  <c r="M4" i="28"/>
  <c r="M5" i="28"/>
  <c r="M6" i="28"/>
  <c r="M7" i="28"/>
  <c r="M8" i="28"/>
  <c r="M9" i="28"/>
  <c r="M10" i="28"/>
  <c r="M11" i="28"/>
  <c r="M12" i="28"/>
  <c r="M13" i="28"/>
  <c r="M14" i="28"/>
  <c r="M15" i="28"/>
  <c r="M16" i="28"/>
  <c r="M17" i="28"/>
  <c r="M18" i="28"/>
  <c r="M19" i="28"/>
  <c r="M20" i="28"/>
  <c r="M21" i="28"/>
  <c r="M22" i="28"/>
  <c r="M23" i="28"/>
  <c r="M24" i="28"/>
  <c r="M25" i="28"/>
  <c r="M26" i="28"/>
  <c r="M27" i="28"/>
  <c r="M28" i="28"/>
  <c r="M29" i="28"/>
  <c r="M30" i="28"/>
  <c r="M31" i="28"/>
  <c r="M32" i="28"/>
  <c r="M33" i="28"/>
  <c r="M34" i="28"/>
  <c r="M35" i="28"/>
  <c r="M36" i="28"/>
  <c r="M37" i="28"/>
  <c r="M38" i="28"/>
  <c r="M39" i="28"/>
  <c r="M40" i="28"/>
  <c r="M41" i="28"/>
  <c r="M42" i="28"/>
  <c r="M43" i="28"/>
  <c r="M44" i="28"/>
  <c r="M45" i="28"/>
  <c r="M46" i="28"/>
  <c r="M47" i="28"/>
  <c r="M48" i="28"/>
  <c r="M49" i="28"/>
  <c r="M50" i="28"/>
  <c r="M51" i="28"/>
  <c r="M2" i="28"/>
  <c r="K3" i="28"/>
  <c r="K4" i="28"/>
  <c r="K5" i="28"/>
  <c r="K6" i="28"/>
  <c r="K7" i="28"/>
  <c r="K8" i="28"/>
  <c r="K9" i="28"/>
  <c r="K10" i="28"/>
  <c r="K11" i="28"/>
  <c r="K12" i="28"/>
  <c r="K13" i="28"/>
  <c r="K14" i="28"/>
  <c r="K15" i="28"/>
  <c r="K16" i="28"/>
  <c r="K17" i="28"/>
  <c r="K18" i="28"/>
  <c r="K19" i="28"/>
  <c r="K20" i="28"/>
  <c r="K21" i="28"/>
  <c r="K22" i="28"/>
  <c r="K23" i="28"/>
  <c r="K24" i="28"/>
  <c r="K25" i="28"/>
  <c r="K26" i="28"/>
  <c r="K27" i="28"/>
  <c r="K28" i="28"/>
  <c r="K29" i="28"/>
  <c r="K30" i="28"/>
  <c r="K31" i="28"/>
  <c r="K32" i="28"/>
  <c r="K33" i="28"/>
  <c r="K34" i="28"/>
  <c r="K35" i="28"/>
  <c r="K36" i="28"/>
  <c r="K37" i="28"/>
  <c r="K38" i="28"/>
  <c r="K39" i="28"/>
  <c r="K40" i="28"/>
  <c r="K41" i="28"/>
  <c r="K42" i="28"/>
  <c r="K43" i="28"/>
  <c r="K44" i="28"/>
  <c r="K45" i="28"/>
  <c r="K46" i="28"/>
  <c r="K47" i="28"/>
  <c r="K48" i="28"/>
  <c r="K49" i="28"/>
  <c r="K50" i="28"/>
  <c r="K51" i="28"/>
  <c r="K2" i="28"/>
  <c r="H3" i="28"/>
  <c r="H4" i="28"/>
  <c r="H5" i="28"/>
  <c r="H6" i="28"/>
  <c r="H7" i="28"/>
  <c r="H8" i="28"/>
  <c r="H9" i="28"/>
  <c r="H10" i="28"/>
  <c r="H11" i="28"/>
  <c r="H12" i="28"/>
  <c r="H13" i="28"/>
  <c r="H14" i="28"/>
  <c r="H15" i="28"/>
  <c r="H16" i="28"/>
  <c r="H17" i="28"/>
  <c r="H18" i="28"/>
  <c r="H19" i="28"/>
  <c r="H20" i="28"/>
  <c r="H21" i="28"/>
  <c r="H22" i="28"/>
  <c r="H23" i="28"/>
  <c r="H24" i="28"/>
  <c r="H25" i="28"/>
  <c r="H26" i="28"/>
  <c r="H27" i="28"/>
  <c r="H28" i="28"/>
  <c r="H29" i="28"/>
  <c r="H30" i="28"/>
  <c r="H31" i="28"/>
  <c r="H32" i="28"/>
  <c r="H33" i="28"/>
  <c r="H34" i="28"/>
  <c r="H35" i="28"/>
  <c r="H36" i="28"/>
  <c r="H37" i="28"/>
  <c r="H38" i="28"/>
  <c r="H39" i="28"/>
  <c r="H40" i="28"/>
  <c r="H41" i="28"/>
  <c r="H42" i="28"/>
  <c r="H43" i="28"/>
  <c r="H44" i="28"/>
  <c r="H45" i="28"/>
  <c r="H46" i="28"/>
  <c r="H47" i="28"/>
  <c r="H48" i="28"/>
  <c r="H49" i="28"/>
  <c r="H50" i="28"/>
  <c r="H51" i="28"/>
  <c r="H2" i="28"/>
  <c r="F3" i="28"/>
  <c r="F4" i="28"/>
  <c r="F5" i="28"/>
  <c r="F6" i="28"/>
  <c r="F7" i="28"/>
  <c r="F8" i="28"/>
  <c r="F9" i="28"/>
  <c r="F10" i="28"/>
  <c r="F11" i="28"/>
  <c r="F12" i="28"/>
  <c r="F13" i="28"/>
  <c r="F14" i="28"/>
  <c r="F15" i="28"/>
  <c r="F16" i="28"/>
  <c r="F17" i="28"/>
  <c r="F18" i="28"/>
  <c r="F19" i="28"/>
  <c r="F20" i="28"/>
  <c r="F21" i="28"/>
  <c r="F22" i="28"/>
  <c r="F23" i="28"/>
  <c r="F24" i="28"/>
  <c r="F25" i="28"/>
  <c r="F26" i="28"/>
  <c r="F27" i="28"/>
  <c r="F28" i="28"/>
  <c r="F29" i="28"/>
  <c r="F30" i="28"/>
  <c r="F31" i="28"/>
  <c r="F32" i="28"/>
  <c r="F33" i="28"/>
  <c r="F34" i="28"/>
  <c r="F35" i="28"/>
  <c r="F36" i="28"/>
  <c r="F37" i="28"/>
  <c r="F38" i="28"/>
  <c r="F39" i="28"/>
  <c r="F40" i="28"/>
  <c r="F41" i="28"/>
  <c r="F42" i="28"/>
  <c r="F43" i="28"/>
  <c r="F44" i="28"/>
  <c r="F45" i="28"/>
  <c r="F46" i="28"/>
  <c r="F47" i="28"/>
  <c r="F48" i="28"/>
  <c r="F49" i="28"/>
  <c r="F50" i="28"/>
  <c r="F51" i="28"/>
  <c r="F2" i="28"/>
  <c r="BO4" i="26" l="1"/>
  <c r="BO9" i="26"/>
  <c r="BO10" i="26"/>
  <c r="BO11" i="26"/>
  <c r="BO12" i="26"/>
  <c r="BO14" i="26"/>
  <c r="BO18" i="26"/>
  <c r="BO23" i="26"/>
  <c r="BO25" i="26"/>
  <c r="BO26" i="26"/>
  <c r="BO32" i="26"/>
  <c r="BO37" i="26"/>
  <c r="BO39" i="26"/>
  <c r="BO40" i="26"/>
  <c r="BO46" i="26"/>
  <c r="BO51" i="26"/>
  <c r="BO2" i="26"/>
  <c r="CE3" i="26"/>
  <c r="CE4" i="26"/>
  <c r="CE5" i="26"/>
  <c r="CE6" i="26"/>
  <c r="CE7" i="26"/>
  <c r="CE8" i="26"/>
  <c r="CE9" i="26"/>
  <c r="CE10" i="26"/>
  <c r="CE11" i="26"/>
  <c r="CE12" i="26"/>
  <c r="CE13" i="26"/>
  <c r="CE14" i="26"/>
  <c r="CE15" i="26"/>
  <c r="CE16" i="26"/>
  <c r="CE17" i="26"/>
  <c r="CE18" i="26"/>
  <c r="CE19" i="26"/>
  <c r="CE20" i="26"/>
  <c r="CE21" i="26"/>
  <c r="CE22" i="26"/>
  <c r="CE23" i="26"/>
  <c r="CE24" i="26"/>
  <c r="CE25" i="26"/>
  <c r="CE26" i="26"/>
  <c r="CE27" i="26"/>
  <c r="CE28" i="26"/>
  <c r="CE29" i="26"/>
  <c r="CE30" i="26"/>
  <c r="CE31" i="26"/>
  <c r="CE32" i="26"/>
  <c r="CE33" i="26"/>
  <c r="CE34" i="26"/>
  <c r="CE35" i="26"/>
  <c r="CE36" i="26"/>
  <c r="CE37" i="26"/>
  <c r="CE38" i="26"/>
  <c r="CE39" i="26"/>
  <c r="CE40" i="26"/>
  <c r="CE41" i="26"/>
  <c r="CE42" i="26"/>
  <c r="CE43" i="26"/>
  <c r="CE44" i="26"/>
  <c r="CE45" i="26"/>
  <c r="CE46" i="26"/>
  <c r="CE47" i="26"/>
  <c r="CE48" i="26"/>
  <c r="CE49" i="26"/>
  <c r="CE50" i="26"/>
  <c r="CE51" i="26"/>
  <c r="CE2" i="26"/>
  <c r="CA3" i="26"/>
  <c r="CA4" i="26"/>
  <c r="CA5" i="26"/>
  <c r="CA6" i="26"/>
  <c r="CA7" i="26"/>
  <c r="CA8" i="26"/>
  <c r="CA9" i="26"/>
  <c r="CA10" i="26"/>
  <c r="CA11" i="26"/>
  <c r="CA12" i="26"/>
  <c r="CA13" i="26"/>
  <c r="CA14" i="26"/>
  <c r="CA15" i="26"/>
  <c r="CA16" i="26"/>
  <c r="CA17" i="26"/>
  <c r="CA18" i="26"/>
  <c r="CA19" i="26"/>
  <c r="CA20" i="26"/>
  <c r="CA21" i="26"/>
  <c r="CA22" i="26"/>
  <c r="CA23" i="26"/>
  <c r="CA24" i="26"/>
  <c r="CA25" i="26"/>
  <c r="CA26" i="26"/>
  <c r="CA27" i="26"/>
  <c r="CA28" i="26"/>
  <c r="CA29" i="26"/>
  <c r="CA30" i="26"/>
  <c r="CA31" i="26"/>
  <c r="CA32" i="26"/>
  <c r="CA33" i="26"/>
  <c r="CA34" i="26"/>
  <c r="CA35" i="26"/>
  <c r="CA36" i="26"/>
  <c r="CA37" i="26"/>
  <c r="CA38" i="26"/>
  <c r="CA39" i="26"/>
  <c r="CA40" i="26"/>
  <c r="CA41" i="26"/>
  <c r="CA42" i="26"/>
  <c r="CA43" i="26"/>
  <c r="CA44" i="26"/>
  <c r="CA45" i="26"/>
  <c r="CA46" i="26"/>
  <c r="CA47" i="26"/>
  <c r="CA48" i="26"/>
  <c r="CA49" i="26"/>
  <c r="CA50" i="26"/>
  <c r="CA51" i="26"/>
  <c r="CA2" i="26"/>
  <c r="BW3" i="26"/>
  <c r="BW4" i="26"/>
  <c r="BW5" i="26"/>
  <c r="BW6" i="26"/>
  <c r="BW7" i="26"/>
  <c r="BW8" i="26"/>
  <c r="BW9" i="26"/>
  <c r="BW10" i="26"/>
  <c r="BW11" i="26"/>
  <c r="BW12" i="26"/>
  <c r="BW13" i="26"/>
  <c r="BW14" i="26"/>
  <c r="BW15" i="26"/>
  <c r="BW16" i="26"/>
  <c r="BW17" i="26"/>
  <c r="BW18" i="26"/>
  <c r="BW19" i="26"/>
  <c r="BW20" i="26"/>
  <c r="BW21" i="26"/>
  <c r="BW22" i="26"/>
  <c r="BW23" i="26"/>
  <c r="BW24" i="26"/>
  <c r="BW25" i="26"/>
  <c r="BW26" i="26"/>
  <c r="BW27" i="26"/>
  <c r="BW28" i="26"/>
  <c r="BW29" i="26"/>
  <c r="BW30" i="26"/>
  <c r="BW31" i="26"/>
  <c r="BW32" i="26"/>
  <c r="BW33" i="26"/>
  <c r="BW34" i="26"/>
  <c r="BW35" i="26"/>
  <c r="BW36" i="26"/>
  <c r="BW37" i="26"/>
  <c r="BW38" i="26"/>
  <c r="BW39" i="26"/>
  <c r="BW40" i="26"/>
  <c r="BW41" i="26"/>
  <c r="BW42" i="26"/>
  <c r="BW43" i="26"/>
  <c r="BW44" i="26"/>
  <c r="BW45" i="26"/>
  <c r="BW46" i="26"/>
  <c r="BW47" i="26"/>
  <c r="BW48" i="26"/>
  <c r="BW49" i="26"/>
  <c r="BW50" i="26"/>
  <c r="BW51" i="26"/>
  <c r="BW2" i="26"/>
  <c r="BS3" i="26"/>
  <c r="BS4" i="26"/>
  <c r="BS5" i="26"/>
  <c r="BS6" i="26"/>
  <c r="BS7" i="26"/>
  <c r="BS8" i="26"/>
  <c r="BS9" i="26"/>
  <c r="BS10" i="26"/>
  <c r="BS11" i="26"/>
  <c r="BS12" i="26"/>
  <c r="BS13" i="26"/>
  <c r="BS14" i="26"/>
  <c r="BS15" i="26"/>
  <c r="BS16" i="26"/>
  <c r="BS17" i="26"/>
  <c r="BS18" i="26"/>
  <c r="BS19" i="26"/>
  <c r="BS20" i="26"/>
  <c r="BS21" i="26"/>
  <c r="BS22" i="26"/>
  <c r="BS23" i="26"/>
  <c r="BS24" i="26"/>
  <c r="BS25" i="26"/>
  <c r="BS26" i="26"/>
  <c r="BS27" i="26"/>
  <c r="BS28" i="26"/>
  <c r="BS29" i="26"/>
  <c r="BS30" i="26"/>
  <c r="BS31" i="26"/>
  <c r="BS32" i="26"/>
  <c r="BS33" i="26"/>
  <c r="BS34" i="26"/>
  <c r="BS35" i="26"/>
  <c r="BS36" i="26"/>
  <c r="BS37" i="26"/>
  <c r="BS38" i="26"/>
  <c r="BS39" i="26"/>
  <c r="BS40" i="26"/>
  <c r="BS41" i="26"/>
  <c r="BS42" i="26"/>
  <c r="BS43" i="26"/>
  <c r="BS44" i="26"/>
  <c r="BS45" i="26"/>
  <c r="BS46" i="26"/>
  <c r="BS47" i="26"/>
  <c r="BS48" i="26"/>
  <c r="BS49" i="26"/>
  <c r="BS50" i="26"/>
  <c r="BS51" i="26"/>
  <c r="BS2" i="26"/>
  <c r="BO3" i="26"/>
  <c r="BO5" i="26"/>
  <c r="BO6" i="26"/>
  <c r="BO7" i="26"/>
  <c r="BO8" i="26"/>
  <c r="BO13" i="26"/>
  <c r="BO15" i="26"/>
  <c r="BO16" i="26"/>
  <c r="BO17" i="26"/>
  <c r="BO19" i="26"/>
  <c r="BO20" i="26"/>
  <c r="BO21" i="26"/>
  <c r="BO22" i="26"/>
  <c r="BO24" i="26"/>
  <c r="BO27" i="26"/>
  <c r="BO28" i="26"/>
  <c r="BO29" i="26"/>
  <c r="BO30" i="26"/>
  <c r="BO31" i="26"/>
  <c r="BO33" i="26"/>
  <c r="BO34" i="26"/>
  <c r="BO35" i="26"/>
  <c r="BO36" i="26"/>
  <c r="BO38" i="26"/>
  <c r="BO41" i="26"/>
  <c r="BO42" i="26"/>
  <c r="BO43" i="26"/>
  <c r="BO44" i="26"/>
  <c r="BO45" i="26"/>
  <c r="BO47" i="26"/>
  <c r="BO48" i="26"/>
  <c r="BO49" i="26"/>
  <c r="BO50" i="26"/>
  <c r="BK3" i="26"/>
  <c r="BK4" i="26"/>
  <c r="BK5" i="26"/>
  <c r="BK6" i="26"/>
  <c r="BK7" i="26"/>
  <c r="BK8" i="26"/>
  <c r="BK9" i="26"/>
  <c r="BK10" i="26"/>
  <c r="BK11" i="26"/>
  <c r="BK12" i="26"/>
  <c r="BK13" i="26"/>
  <c r="BK14" i="26"/>
  <c r="BK15" i="26"/>
  <c r="BK16" i="26"/>
  <c r="BK17" i="26"/>
  <c r="BK18" i="26"/>
  <c r="BK19" i="26"/>
  <c r="BK20" i="26"/>
  <c r="BK21" i="26"/>
  <c r="BK22" i="26"/>
  <c r="BK23" i="26"/>
  <c r="BK24" i="26"/>
  <c r="BK25" i="26"/>
  <c r="BK26" i="26"/>
  <c r="BK27" i="26"/>
  <c r="BK28" i="26"/>
  <c r="BK29" i="26"/>
  <c r="BK30" i="26"/>
  <c r="BK31" i="26"/>
  <c r="BK32" i="26"/>
  <c r="BK33" i="26"/>
  <c r="BK34" i="26"/>
  <c r="BK35" i="26"/>
  <c r="BK36" i="26"/>
  <c r="BK37" i="26"/>
  <c r="BK38" i="26"/>
  <c r="BK39" i="26"/>
  <c r="BK40" i="26"/>
  <c r="BK41" i="26"/>
  <c r="BK42" i="26"/>
  <c r="BK43" i="26"/>
  <c r="BK44" i="26"/>
  <c r="BK45" i="26"/>
  <c r="BK46" i="26"/>
  <c r="BK47" i="26"/>
  <c r="BK48" i="26"/>
  <c r="BK49" i="26"/>
  <c r="BK50" i="26"/>
  <c r="BK51" i="26"/>
  <c r="BK2" i="26"/>
  <c r="BG3" i="26"/>
  <c r="BG4" i="26"/>
  <c r="BG5" i="26"/>
  <c r="BG6" i="26"/>
  <c r="BG7" i="26"/>
  <c r="BG8" i="26"/>
  <c r="BG9" i="26"/>
  <c r="BG10" i="26"/>
  <c r="BG11" i="26"/>
  <c r="BG12" i="26"/>
  <c r="BG13" i="26"/>
  <c r="BG14" i="26"/>
  <c r="BG15" i="26"/>
  <c r="BG16" i="26"/>
  <c r="BG17" i="26"/>
  <c r="BG18" i="26"/>
  <c r="BG19" i="26"/>
  <c r="BG20" i="26"/>
  <c r="BG21" i="26"/>
  <c r="BG22" i="26"/>
  <c r="BG23" i="26"/>
  <c r="BG24" i="26"/>
  <c r="BG25" i="26"/>
  <c r="BG26" i="26"/>
  <c r="BG27" i="26"/>
  <c r="BG28" i="26"/>
  <c r="BG29" i="26"/>
  <c r="BG30" i="26"/>
  <c r="BG31" i="26"/>
  <c r="BG32" i="26"/>
  <c r="BG33" i="26"/>
  <c r="BG34" i="26"/>
  <c r="BG35" i="26"/>
  <c r="BG36" i="26"/>
  <c r="BG37" i="26"/>
  <c r="BG38" i="26"/>
  <c r="BG39" i="26"/>
  <c r="BG40" i="26"/>
  <c r="BG41" i="26"/>
  <c r="BG42" i="26"/>
  <c r="BG43" i="26"/>
  <c r="BG44" i="26"/>
  <c r="BG45" i="26"/>
  <c r="BG46" i="26"/>
  <c r="BG47" i="26"/>
  <c r="BG48" i="26"/>
  <c r="BG49" i="26"/>
  <c r="BG50" i="26"/>
  <c r="BG51" i="26"/>
  <c r="BG2" i="26"/>
  <c r="BC3" i="26"/>
  <c r="BC4" i="26"/>
  <c r="BC5" i="26"/>
  <c r="BC6" i="26"/>
  <c r="BC7" i="26"/>
  <c r="BC8" i="26"/>
  <c r="BC9" i="26"/>
  <c r="BC10" i="26"/>
  <c r="BC11" i="26"/>
  <c r="BC12" i="26"/>
  <c r="BC13" i="26"/>
  <c r="BC14" i="26"/>
  <c r="BC15" i="26"/>
  <c r="BC16" i="26"/>
  <c r="BC17" i="26"/>
  <c r="BC18" i="26"/>
  <c r="BC19" i="26"/>
  <c r="BC20" i="26"/>
  <c r="BC21" i="26"/>
  <c r="BC22" i="26"/>
  <c r="BC23" i="26"/>
  <c r="BC24" i="26"/>
  <c r="BC25" i="26"/>
  <c r="BC26" i="26"/>
  <c r="BC27" i="26"/>
  <c r="BC28" i="26"/>
  <c r="BC29" i="26"/>
  <c r="BC30" i="26"/>
  <c r="BC31" i="26"/>
  <c r="BC32" i="26"/>
  <c r="BC33" i="26"/>
  <c r="BC34" i="26"/>
  <c r="BC35" i="26"/>
  <c r="BC36" i="26"/>
  <c r="BC37" i="26"/>
  <c r="BC38" i="26"/>
  <c r="BC39" i="26"/>
  <c r="BC40" i="26"/>
  <c r="BC41" i="26"/>
  <c r="BC42" i="26"/>
  <c r="BC43" i="26"/>
  <c r="BC44" i="26"/>
  <c r="BC45" i="26"/>
  <c r="BC46" i="26"/>
  <c r="BC47" i="26"/>
  <c r="BC48" i="26"/>
  <c r="BC49" i="26"/>
  <c r="BC50" i="26"/>
  <c r="BC51" i="26"/>
  <c r="BC2" i="26"/>
  <c r="AY3" i="26"/>
  <c r="AY4" i="26"/>
  <c r="AY5" i="26"/>
  <c r="AY6" i="26"/>
  <c r="AY7" i="26"/>
  <c r="AY8" i="26"/>
  <c r="AY9" i="26"/>
  <c r="AY10" i="26"/>
  <c r="AY11" i="26"/>
  <c r="AY12" i="26"/>
  <c r="AY13" i="26"/>
  <c r="AY14" i="26"/>
  <c r="AY15" i="26"/>
  <c r="AY16" i="26"/>
  <c r="AY17" i="26"/>
  <c r="AY18" i="26"/>
  <c r="AY19" i="26"/>
  <c r="AY20" i="26"/>
  <c r="AY21" i="26"/>
  <c r="AY22" i="26"/>
  <c r="AY23" i="26"/>
  <c r="AY24" i="26"/>
  <c r="AY25" i="26"/>
  <c r="AY26" i="26"/>
  <c r="AY27" i="26"/>
  <c r="AY28" i="26"/>
  <c r="AY29" i="26"/>
  <c r="AY30" i="26"/>
  <c r="AY31" i="26"/>
  <c r="AY32" i="26"/>
  <c r="AY33" i="26"/>
  <c r="AY34" i="26"/>
  <c r="AY35" i="26"/>
  <c r="AY36" i="26"/>
  <c r="AY37" i="26"/>
  <c r="AY38" i="26"/>
  <c r="AY39" i="26"/>
  <c r="AY40" i="26"/>
  <c r="AY41" i="26"/>
  <c r="AY42" i="26"/>
  <c r="AY43" i="26"/>
  <c r="AY44" i="26"/>
  <c r="AY45" i="26"/>
  <c r="AY46" i="26"/>
  <c r="AY47" i="26"/>
  <c r="AY48" i="26"/>
  <c r="AY49" i="26"/>
  <c r="AY50" i="26"/>
  <c r="AY51" i="26"/>
  <c r="AY2" i="26"/>
  <c r="AA3" i="26"/>
  <c r="AA4" i="26"/>
  <c r="AA5" i="26"/>
  <c r="AA6" i="26"/>
  <c r="AA7" i="26"/>
  <c r="AA8" i="26"/>
  <c r="AA9" i="26"/>
  <c r="AA10" i="26"/>
  <c r="AA11" i="26"/>
  <c r="AA12" i="26"/>
  <c r="AA13" i="26"/>
  <c r="AA14" i="26"/>
  <c r="AA15" i="26"/>
  <c r="AA16" i="26"/>
  <c r="AA17" i="26"/>
  <c r="AA18" i="26"/>
  <c r="AA19" i="26"/>
  <c r="AA20" i="26"/>
  <c r="AA21" i="26"/>
  <c r="AA22" i="26"/>
  <c r="AA23" i="26"/>
  <c r="AA24" i="26"/>
  <c r="AA25" i="26"/>
  <c r="AA26" i="26"/>
  <c r="AA27" i="26"/>
  <c r="AA28" i="26"/>
  <c r="AA29" i="26"/>
  <c r="AA30" i="26"/>
  <c r="AA31" i="26"/>
  <c r="AA32" i="26"/>
  <c r="AA33" i="26"/>
  <c r="AA34" i="26"/>
  <c r="AA35" i="26"/>
  <c r="AA36" i="26"/>
  <c r="AA37" i="26"/>
  <c r="AA38" i="26"/>
  <c r="AA39" i="26"/>
  <c r="AA40" i="26"/>
  <c r="AA41" i="26"/>
  <c r="AA42" i="26"/>
  <c r="AA43" i="26"/>
  <c r="AA44" i="26"/>
  <c r="AA45" i="26"/>
  <c r="AA46" i="26"/>
  <c r="AA47" i="26"/>
  <c r="AA48" i="26"/>
  <c r="AA49" i="26"/>
  <c r="AA50" i="26"/>
  <c r="AA51" i="26"/>
  <c r="AA2" i="26"/>
  <c r="CH3" i="26"/>
  <c r="CI3" i="26"/>
  <c r="CH4" i="26"/>
  <c r="CI4" i="26"/>
  <c r="CH5" i="26"/>
  <c r="CI5" i="26"/>
  <c r="CH6" i="26"/>
  <c r="CI6" i="26"/>
  <c r="CH7" i="26"/>
  <c r="CI7" i="26"/>
  <c r="CH8" i="26"/>
  <c r="CI8" i="26"/>
  <c r="CH9" i="26"/>
  <c r="CI9" i="26"/>
  <c r="CH10" i="26"/>
  <c r="CI10" i="26"/>
  <c r="CH11" i="26"/>
  <c r="CI11" i="26"/>
  <c r="CH12" i="26"/>
  <c r="CI12" i="26"/>
  <c r="CH13" i="26"/>
  <c r="CI13" i="26"/>
  <c r="CH14" i="26"/>
  <c r="CI14" i="26"/>
  <c r="CH15" i="26"/>
  <c r="CI15" i="26"/>
  <c r="CH16" i="26"/>
  <c r="CI16" i="26"/>
  <c r="CH17" i="26"/>
  <c r="CI17" i="26"/>
  <c r="CH18" i="26"/>
  <c r="CI18" i="26"/>
  <c r="CH19" i="26"/>
  <c r="CI19" i="26"/>
  <c r="CH20" i="26"/>
  <c r="CI20" i="26"/>
  <c r="CH21" i="26"/>
  <c r="CI21" i="26"/>
  <c r="CH22" i="26"/>
  <c r="CI22" i="26"/>
  <c r="CH23" i="26"/>
  <c r="CI23" i="26"/>
  <c r="CH24" i="26"/>
  <c r="CI24" i="26"/>
  <c r="CH25" i="26"/>
  <c r="CI25" i="26"/>
  <c r="CH26" i="26"/>
  <c r="CI26" i="26"/>
  <c r="CH27" i="26"/>
  <c r="CI27" i="26"/>
  <c r="CH28" i="26"/>
  <c r="CI28" i="26"/>
  <c r="CH29" i="26"/>
  <c r="CI29" i="26"/>
  <c r="CH30" i="26"/>
  <c r="CI30" i="26"/>
  <c r="CH31" i="26"/>
  <c r="CI31" i="26"/>
  <c r="CH32" i="26"/>
  <c r="CI32" i="26"/>
  <c r="CH33" i="26"/>
  <c r="CI33" i="26"/>
  <c r="CH34" i="26"/>
  <c r="CI34" i="26"/>
  <c r="CH35" i="26"/>
  <c r="CI35" i="26"/>
  <c r="CH36" i="26"/>
  <c r="CI36" i="26"/>
  <c r="CH37" i="26"/>
  <c r="CI37" i="26"/>
  <c r="CH38" i="26"/>
  <c r="CI38" i="26"/>
  <c r="CH39" i="26"/>
  <c r="CI39" i="26"/>
  <c r="CH40" i="26"/>
  <c r="CI40" i="26"/>
  <c r="CH41" i="26"/>
  <c r="CI41" i="26"/>
  <c r="CH42" i="26"/>
  <c r="CI42" i="26"/>
  <c r="CH43" i="26"/>
  <c r="CI43" i="26"/>
  <c r="CH44" i="26"/>
  <c r="CI44" i="26"/>
  <c r="CH45" i="26"/>
  <c r="CI45" i="26"/>
  <c r="CH46" i="26"/>
  <c r="CI46" i="26"/>
  <c r="CH47" i="26"/>
  <c r="CI47" i="26"/>
  <c r="CH48" i="26"/>
  <c r="CI48" i="26"/>
  <c r="CH49" i="26"/>
  <c r="CI49" i="26"/>
  <c r="CH50" i="26"/>
  <c r="CI50" i="26"/>
  <c r="CH51" i="26"/>
  <c r="CI51" i="26"/>
  <c r="CI2" i="26"/>
  <c r="CH2" i="26"/>
  <c r="BJ3" i="26"/>
  <c r="BJ4" i="26"/>
  <c r="BJ5" i="26"/>
  <c r="BJ6" i="26"/>
  <c r="BJ7" i="26"/>
  <c r="BJ8" i="26"/>
  <c r="BJ9" i="26"/>
  <c r="BJ10" i="26"/>
  <c r="BJ11" i="26"/>
  <c r="BJ12" i="26"/>
  <c r="BJ13" i="26"/>
  <c r="BJ14" i="26"/>
  <c r="BJ15" i="26"/>
  <c r="BJ16" i="26"/>
  <c r="BJ17" i="26"/>
  <c r="BJ18" i="26"/>
  <c r="BJ19" i="26"/>
  <c r="BJ20" i="26"/>
  <c r="BJ21" i="26"/>
  <c r="BJ22" i="26"/>
  <c r="BJ23" i="26"/>
  <c r="BJ24" i="26"/>
  <c r="BJ25" i="26"/>
  <c r="BJ26" i="26"/>
  <c r="BJ27" i="26"/>
  <c r="BJ28" i="26"/>
  <c r="BJ29" i="26"/>
  <c r="BJ30" i="26"/>
  <c r="BJ31" i="26"/>
  <c r="BJ32" i="26"/>
  <c r="BJ33" i="26"/>
  <c r="BJ34" i="26"/>
  <c r="BJ35" i="26"/>
  <c r="BJ36" i="26"/>
  <c r="BJ37" i="26"/>
  <c r="BJ38" i="26"/>
  <c r="BJ39" i="26"/>
  <c r="BJ40" i="26"/>
  <c r="BJ41" i="26"/>
  <c r="BJ42" i="26"/>
  <c r="BJ43" i="26"/>
  <c r="BJ44" i="26"/>
  <c r="BJ45" i="26"/>
  <c r="BJ46" i="26"/>
  <c r="BJ47" i="26"/>
  <c r="BJ48" i="26"/>
  <c r="BJ49" i="26"/>
  <c r="BJ50" i="26"/>
  <c r="BJ51" i="26"/>
  <c r="BJ2" i="26"/>
  <c r="BF3" i="26"/>
  <c r="BF4" i="26"/>
  <c r="BF5" i="26"/>
  <c r="BF6" i="26"/>
  <c r="BF7" i="26"/>
  <c r="BF8" i="26"/>
  <c r="BF9" i="26"/>
  <c r="BF10" i="26"/>
  <c r="BF11" i="26"/>
  <c r="BF12" i="26"/>
  <c r="BF13" i="26"/>
  <c r="BF14" i="26"/>
  <c r="BF15" i="26"/>
  <c r="BF16" i="26"/>
  <c r="BF17" i="26"/>
  <c r="BF18" i="26"/>
  <c r="BF19" i="26"/>
  <c r="BF20" i="26"/>
  <c r="BF21" i="26"/>
  <c r="BF22" i="26"/>
  <c r="BF23" i="26"/>
  <c r="BF24" i="26"/>
  <c r="BF25" i="26"/>
  <c r="BF26" i="26"/>
  <c r="BF27" i="26"/>
  <c r="BF28" i="26"/>
  <c r="BF29" i="26"/>
  <c r="BF30" i="26"/>
  <c r="BF31" i="26"/>
  <c r="BF32" i="26"/>
  <c r="BF33" i="26"/>
  <c r="BF34" i="26"/>
  <c r="BF35" i="26"/>
  <c r="BF36" i="26"/>
  <c r="BF37" i="26"/>
  <c r="BF38" i="26"/>
  <c r="BF39" i="26"/>
  <c r="BF40" i="26"/>
  <c r="BF41" i="26"/>
  <c r="BF42" i="26"/>
  <c r="BF43" i="26"/>
  <c r="BF44" i="26"/>
  <c r="BF45" i="26"/>
  <c r="BF46" i="26"/>
  <c r="BF47" i="26"/>
  <c r="BF48" i="26"/>
  <c r="BF49" i="26"/>
  <c r="BF50" i="26"/>
  <c r="BF51" i="26"/>
  <c r="BF2" i="26"/>
  <c r="BB3" i="26"/>
  <c r="BB4" i="26"/>
  <c r="BB5" i="26"/>
  <c r="BB6" i="26"/>
  <c r="BB7" i="26"/>
  <c r="BB8" i="26"/>
  <c r="BB9" i="26"/>
  <c r="BB10" i="26"/>
  <c r="BB11" i="26"/>
  <c r="BB12" i="26"/>
  <c r="BB13" i="26"/>
  <c r="BB14" i="26"/>
  <c r="BB15" i="26"/>
  <c r="BB16" i="26"/>
  <c r="BB17" i="26"/>
  <c r="BB18" i="26"/>
  <c r="BB19" i="26"/>
  <c r="BB20" i="26"/>
  <c r="BB21" i="26"/>
  <c r="BB22" i="26"/>
  <c r="BB23" i="26"/>
  <c r="BB24" i="26"/>
  <c r="BB25" i="26"/>
  <c r="BB26" i="26"/>
  <c r="BB27" i="26"/>
  <c r="BB28" i="26"/>
  <c r="BB29" i="26"/>
  <c r="BB30" i="26"/>
  <c r="BB31" i="26"/>
  <c r="BB32" i="26"/>
  <c r="BB33" i="26"/>
  <c r="BB34" i="26"/>
  <c r="BB35" i="26"/>
  <c r="BB36" i="26"/>
  <c r="BB37" i="26"/>
  <c r="BB38" i="26"/>
  <c r="BB39" i="26"/>
  <c r="BB40" i="26"/>
  <c r="BB41" i="26"/>
  <c r="BB42" i="26"/>
  <c r="BB43" i="26"/>
  <c r="BB44" i="26"/>
  <c r="BB45" i="26"/>
  <c r="BB46" i="26"/>
  <c r="BB47" i="26"/>
  <c r="BB48" i="26"/>
  <c r="BB49" i="26"/>
  <c r="BB50" i="26"/>
  <c r="BB51" i="26"/>
  <c r="BB2" i="26"/>
  <c r="AX3" i="26"/>
  <c r="AX4" i="26"/>
  <c r="AX5" i="26"/>
  <c r="AX6" i="26"/>
  <c r="AX7" i="26"/>
  <c r="AX8" i="26"/>
  <c r="AX9" i="26"/>
  <c r="AX10" i="26"/>
  <c r="AX11" i="26"/>
  <c r="AX12" i="26"/>
  <c r="AX13" i="26"/>
  <c r="AX14" i="26"/>
  <c r="AX15" i="26"/>
  <c r="AX16" i="26"/>
  <c r="AX17" i="26"/>
  <c r="AX18" i="26"/>
  <c r="AX19" i="26"/>
  <c r="AX20" i="26"/>
  <c r="AX21" i="26"/>
  <c r="AX22" i="26"/>
  <c r="AX24" i="26"/>
  <c r="AX25" i="26"/>
  <c r="AX26" i="26"/>
  <c r="AX27" i="26"/>
  <c r="AX28" i="26"/>
  <c r="AX29" i="26"/>
  <c r="AX30" i="26"/>
  <c r="AX31" i="26"/>
  <c r="AX32" i="26"/>
  <c r="AX33" i="26"/>
  <c r="AX34" i="26"/>
  <c r="AX35" i="26"/>
  <c r="AX36" i="26"/>
  <c r="AX37" i="26"/>
  <c r="AX38" i="26"/>
  <c r="AX39" i="26"/>
  <c r="AX40" i="26"/>
  <c r="AX41" i="26"/>
  <c r="AX42" i="26"/>
  <c r="AX43" i="26"/>
  <c r="AX44" i="26"/>
  <c r="AX45" i="26"/>
  <c r="AX46" i="26"/>
  <c r="AX47" i="26"/>
  <c r="AX48" i="26"/>
  <c r="AX49" i="26"/>
  <c r="AX50" i="26"/>
  <c r="AX51" i="26"/>
  <c r="AX2" i="26"/>
  <c r="V3" i="26"/>
  <c r="W3" i="26"/>
  <c r="V4" i="26"/>
  <c r="W4" i="26"/>
  <c r="V5" i="26"/>
  <c r="W5" i="26"/>
  <c r="V6" i="26"/>
  <c r="W6" i="26"/>
  <c r="V7" i="26"/>
  <c r="W7" i="26"/>
  <c r="V8" i="26"/>
  <c r="W8" i="26"/>
  <c r="V9" i="26"/>
  <c r="W9" i="26"/>
  <c r="V10" i="26"/>
  <c r="W10" i="26"/>
  <c r="V11" i="26"/>
  <c r="W11" i="26"/>
  <c r="V12" i="26"/>
  <c r="W12" i="26"/>
  <c r="V13" i="26"/>
  <c r="W13" i="26"/>
  <c r="V14" i="26"/>
  <c r="W14" i="26"/>
  <c r="V15" i="26"/>
  <c r="W15" i="26"/>
  <c r="V16" i="26"/>
  <c r="W16" i="26"/>
  <c r="V17" i="26"/>
  <c r="W17" i="26"/>
  <c r="V18" i="26"/>
  <c r="W18" i="26"/>
  <c r="V19" i="26"/>
  <c r="W19" i="26"/>
  <c r="V20" i="26"/>
  <c r="W20" i="26"/>
  <c r="V21" i="26"/>
  <c r="W21" i="26"/>
  <c r="V22" i="26"/>
  <c r="W22" i="26"/>
  <c r="V23" i="26"/>
  <c r="W23" i="26"/>
  <c r="V24" i="26"/>
  <c r="W24" i="26"/>
  <c r="V25" i="26"/>
  <c r="W25" i="26"/>
  <c r="V26" i="26"/>
  <c r="W26" i="26"/>
  <c r="V27" i="26"/>
  <c r="W27" i="26"/>
  <c r="V28" i="26"/>
  <c r="W28" i="26"/>
  <c r="V29" i="26"/>
  <c r="W29" i="26"/>
  <c r="V30" i="26"/>
  <c r="W30" i="26"/>
  <c r="V31" i="26"/>
  <c r="W31" i="26"/>
  <c r="V32" i="26"/>
  <c r="W32" i="26"/>
  <c r="V33" i="26"/>
  <c r="W33" i="26"/>
  <c r="V34" i="26"/>
  <c r="W34" i="26"/>
  <c r="V35" i="26"/>
  <c r="W35" i="26"/>
  <c r="V36" i="26"/>
  <c r="W36" i="26"/>
  <c r="V37" i="26"/>
  <c r="W37" i="26"/>
  <c r="V38" i="26"/>
  <c r="W38" i="26"/>
  <c r="V39" i="26"/>
  <c r="W39" i="26"/>
  <c r="V40" i="26"/>
  <c r="W40" i="26"/>
  <c r="V41" i="26"/>
  <c r="W41" i="26"/>
  <c r="V42" i="26"/>
  <c r="W42" i="26"/>
  <c r="V43" i="26"/>
  <c r="W43" i="26"/>
  <c r="V44" i="26"/>
  <c r="W44" i="26"/>
  <c r="V45" i="26"/>
  <c r="W45" i="26"/>
  <c r="V46" i="26"/>
  <c r="W46" i="26"/>
  <c r="V47" i="26"/>
  <c r="W47" i="26"/>
  <c r="V48" i="26"/>
  <c r="W48" i="26"/>
  <c r="V49" i="26"/>
  <c r="W49" i="26"/>
  <c r="V50" i="26"/>
  <c r="W50" i="26"/>
  <c r="V51" i="26"/>
  <c r="W51" i="26"/>
  <c r="W2" i="26"/>
  <c r="V2" i="26"/>
  <c r="R3" i="26"/>
  <c r="S3" i="26"/>
  <c r="R4" i="26"/>
  <c r="S4" i="26"/>
  <c r="R5" i="26"/>
  <c r="S5" i="26"/>
  <c r="R6" i="26"/>
  <c r="S6" i="26"/>
  <c r="R7" i="26"/>
  <c r="S7" i="26"/>
  <c r="R8" i="26"/>
  <c r="S8" i="26"/>
  <c r="R9" i="26"/>
  <c r="S9" i="26"/>
  <c r="R10" i="26"/>
  <c r="S10" i="26"/>
  <c r="R11" i="26"/>
  <c r="S11" i="26"/>
  <c r="R12" i="26"/>
  <c r="S12" i="26"/>
  <c r="R13" i="26"/>
  <c r="S13" i="26"/>
  <c r="R14" i="26"/>
  <c r="S14" i="26"/>
  <c r="R15" i="26"/>
  <c r="S15" i="26"/>
  <c r="R16" i="26"/>
  <c r="S16" i="26"/>
  <c r="R17" i="26"/>
  <c r="S17" i="26"/>
  <c r="R18" i="26"/>
  <c r="S18" i="26"/>
  <c r="R19" i="26"/>
  <c r="S19" i="26"/>
  <c r="R20" i="26"/>
  <c r="S20" i="26"/>
  <c r="R21" i="26"/>
  <c r="S21" i="26"/>
  <c r="R22" i="26"/>
  <c r="S22" i="26"/>
  <c r="R23" i="26"/>
  <c r="S23" i="26"/>
  <c r="R24" i="26"/>
  <c r="S24" i="26"/>
  <c r="R25" i="26"/>
  <c r="S25" i="26"/>
  <c r="R26" i="26"/>
  <c r="S26" i="26"/>
  <c r="R27" i="26"/>
  <c r="S27" i="26"/>
  <c r="R28" i="26"/>
  <c r="S28" i="26"/>
  <c r="R29" i="26"/>
  <c r="S29" i="26"/>
  <c r="R30" i="26"/>
  <c r="S30" i="26"/>
  <c r="R31" i="26"/>
  <c r="S31" i="26"/>
  <c r="R32" i="26"/>
  <c r="S32" i="26"/>
  <c r="R33" i="26"/>
  <c r="S33" i="26"/>
  <c r="R34" i="26"/>
  <c r="S34" i="26"/>
  <c r="R35" i="26"/>
  <c r="S35" i="26"/>
  <c r="R36" i="26"/>
  <c r="S36" i="26"/>
  <c r="R37" i="26"/>
  <c r="S37" i="26"/>
  <c r="R38" i="26"/>
  <c r="S38" i="26"/>
  <c r="R39" i="26"/>
  <c r="S39" i="26"/>
  <c r="R40" i="26"/>
  <c r="S40" i="26"/>
  <c r="R41" i="26"/>
  <c r="S41" i="26"/>
  <c r="R42" i="26"/>
  <c r="S42" i="26"/>
  <c r="R43" i="26"/>
  <c r="S43" i="26"/>
  <c r="R44" i="26"/>
  <c r="S44" i="26"/>
  <c r="R45" i="26"/>
  <c r="S45" i="26"/>
  <c r="R46" i="26"/>
  <c r="S46" i="26"/>
  <c r="R47" i="26"/>
  <c r="S47" i="26"/>
  <c r="R48" i="26"/>
  <c r="S48" i="26"/>
  <c r="R49" i="26"/>
  <c r="S49" i="26"/>
  <c r="R50" i="26"/>
  <c r="S50" i="26"/>
  <c r="R51" i="26"/>
  <c r="S51" i="26"/>
  <c r="S2" i="26"/>
  <c r="R2" i="26"/>
  <c r="N3" i="26"/>
  <c r="O3" i="26"/>
  <c r="N4" i="26"/>
  <c r="O4" i="26"/>
  <c r="N5" i="26"/>
  <c r="O5" i="26"/>
  <c r="N6" i="26"/>
  <c r="O6" i="26"/>
  <c r="N7" i="26"/>
  <c r="O7" i="26"/>
  <c r="N8" i="26"/>
  <c r="O8" i="26"/>
  <c r="N9" i="26"/>
  <c r="O9" i="26"/>
  <c r="N10" i="26"/>
  <c r="O10" i="26"/>
  <c r="N11" i="26"/>
  <c r="O11" i="26"/>
  <c r="N12" i="26"/>
  <c r="O12" i="26"/>
  <c r="N13" i="26"/>
  <c r="O13" i="26"/>
  <c r="N14" i="26"/>
  <c r="O14" i="26"/>
  <c r="N15" i="26"/>
  <c r="O15" i="26"/>
  <c r="N16" i="26"/>
  <c r="O16" i="26"/>
  <c r="N17" i="26"/>
  <c r="O17" i="26"/>
  <c r="N18" i="26"/>
  <c r="O18" i="26"/>
  <c r="N19" i="26"/>
  <c r="O19" i="26"/>
  <c r="N20" i="26"/>
  <c r="O20" i="26"/>
  <c r="N21" i="26"/>
  <c r="O21" i="26"/>
  <c r="N22" i="26"/>
  <c r="O22" i="26"/>
  <c r="N23" i="26"/>
  <c r="O23" i="26"/>
  <c r="N24" i="26"/>
  <c r="O24" i="26"/>
  <c r="N25" i="26"/>
  <c r="O25" i="26"/>
  <c r="N26" i="26"/>
  <c r="O26" i="26"/>
  <c r="N27" i="26"/>
  <c r="O27" i="26"/>
  <c r="N28" i="26"/>
  <c r="O28" i="26"/>
  <c r="N29" i="26"/>
  <c r="O29" i="26"/>
  <c r="N30" i="26"/>
  <c r="O30" i="26"/>
  <c r="N31" i="26"/>
  <c r="O31" i="26"/>
  <c r="N32" i="26"/>
  <c r="O32" i="26"/>
  <c r="N33" i="26"/>
  <c r="O33" i="26"/>
  <c r="N34" i="26"/>
  <c r="O34" i="26"/>
  <c r="N35" i="26"/>
  <c r="O35" i="26"/>
  <c r="N36" i="26"/>
  <c r="O36" i="26"/>
  <c r="N37" i="26"/>
  <c r="O37" i="26"/>
  <c r="N38" i="26"/>
  <c r="O38" i="26"/>
  <c r="N39" i="26"/>
  <c r="O39" i="26"/>
  <c r="N40" i="26"/>
  <c r="O40" i="26"/>
  <c r="N41" i="26"/>
  <c r="O41" i="26"/>
  <c r="N42" i="26"/>
  <c r="O42" i="26"/>
  <c r="N43" i="26"/>
  <c r="O43" i="26"/>
  <c r="N44" i="26"/>
  <c r="O44" i="26"/>
  <c r="N45" i="26"/>
  <c r="O45" i="26"/>
  <c r="N46" i="26"/>
  <c r="O46" i="26"/>
  <c r="N47" i="26"/>
  <c r="O47" i="26"/>
  <c r="N48" i="26"/>
  <c r="O48" i="26"/>
  <c r="N49" i="26"/>
  <c r="O49" i="26"/>
  <c r="N50" i="26"/>
  <c r="O50" i="26"/>
  <c r="N51" i="26"/>
  <c r="O51" i="26"/>
  <c r="O2" i="26"/>
  <c r="N2" i="26"/>
  <c r="G3" i="26"/>
  <c r="G4" i="26"/>
  <c r="G5" i="26"/>
  <c r="G6" i="26"/>
  <c r="G7" i="26"/>
  <c r="G8" i="26"/>
  <c r="G9" i="26"/>
  <c r="G10" i="26"/>
  <c r="G11" i="26"/>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2" i="26"/>
  <c r="F3" i="26"/>
  <c r="F4" i="26"/>
  <c r="F5" i="26"/>
  <c r="F6" i="26"/>
  <c r="F7" i="26"/>
  <c r="F8" i="26"/>
  <c r="F9" i="26"/>
  <c r="F10" i="26"/>
  <c r="F11" i="26"/>
  <c r="F12" i="26"/>
  <c r="F13" i="26"/>
  <c r="F14" i="26"/>
  <c r="F15" i="26"/>
  <c r="F16" i="26"/>
  <c r="F17" i="26"/>
  <c r="F18" i="26"/>
  <c r="F19" i="26"/>
  <c r="F20" i="26"/>
  <c r="F21" i="26"/>
  <c r="F22" i="26"/>
  <c r="F23" i="26"/>
  <c r="F24" i="26"/>
  <c r="F25" i="26"/>
  <c r="F26" i="26"/>
  <c r="F27" i="26"/>
  <c r="F28" i="26"/>
  <c r="F29" i="26"/>
  <c r="F30" i="26"/>
  <c r="F31" i="26"/>
  <c r="F32" i="26"/>
  <c r="F33" i="26"/>
  <c r="F34" i="26"/>
  <c r="F35" i="26"/>
  <c r="F36" i="26"/>
  <c r="F37" i="26"/>
  <c r="F38" i="26"/>
  <c r="F39" i="26"/>
  <c r="F40" i="26"/>
  <c r="F41" i="26"/>
  <c r="F42" i="26"/>
  <c r="F43" i="26"/>
  <c r="F44" i="26"/>
  <c r="F45" i="26"/>
  <c r="F46" i="26"/>
  <c r="F47" i="26"/>
  <c r="F48" i="26"/>
  <c r="F49" i="26"/>
  <c r="F50" i="26"/>
  <c r="F51" i="26"/>
  <c r="F2" i="26"/>
  <c r="J3" i="26"/>
  <c r="K3" i="26"/>
  <c r="J4" i="26"/>
  <c r="K4" i="26"/>
  <c r="J5" i="26"/>
  <c r="K5" i="26"/>
  <c r="J6" i="26"/>
  <c r="K6" i="26"/>
  <c r="J7" i="26"/>
  <c r="K7" i="26"/>
  <c r="J8" i="26"/>
  <c r="K8" i="26"/>
  <c r="J9" i="26"/>
  <c r="K9" i="26"/>
  <c r="J10" i="26"/>
  <c r="K10" i="26"/>
  <c r="J11" i="26"/>
  <c r="K11" i="26"/>
  <c r="J12" i="26"/>
  <c r="K12" i="26"/>
  <c r="J13" i="26"/>
  <c r="K13" i="26"/>
  <c r="J14" i="26"/>
  <c r="K14" i="26"/>
  <c r="J15" i="26"/>
  <c r="K15" i="26"/>
  <c r="J16" i="26"/>
  <c r="K16" i="26"/>
  <c r="J17" i="26"/>
  <c r="K17" i="26"/>
  <c r="J18" i="26"/>
  <c r="K18" i="26"/>
  <c r="J19" i="26"/>
  <c r="K19" i="26"/>
  <c r="J20" i="26"/>
  <c r="K20" i="26"/>
  <c r="J21" i="26"/>
  <c r="K21" i="26"/>
  <c r="J22" i="26"/>
  <c r="K22" i="26"/>
  <c r="J23" i="26"/>
  <c r="K23" i="26"/>
  <c r="J24" i="26"/>
  <c r="K24" i="26"/>
  <c r="J25" i="26"/>
  <c r="K25" i="26"/>
  <c r="J26" i="26"/>
  <c r="K26" i="26"/>
  <c r="J27" i="26"/>
  <c r="K27" i="26"/>
  <c r="J28" i="26"/>
  <c r="K28" i="26"/>
  <c r="J29" i="26"/>
  <c r="K29" i="26"/>
  <c r="J30" i="26"/>
  <c r="K30" i="26"/>
  <c r="J31" i="26"/>
  <c r="K31" i="26"/>
  <c r="J32" i="26"/>
  <c r="K32" i="26"/>
  <c r="J33" i="26"/>
  <c r="K33" i="26"/>
  <c r="J34" i="26"/>
  <c r="K34" i="26"/>
  <c r="J35" i="26"/>
  <c r="K35" i="26"/>
  <c r="J36" i="26"/>
  <c r="K36" i="26"/>
  <c r="J37" i="26"/>
  <c r="K37" i="26"/>
  <c r="J38" i="26"/>
  <c r="K38" i="26"/>
  <c r="J39" i="26"/>
  <c r="K39" i="26"/>
  <c r="J40" i="26"/>
  <c r="K40" i="26"/>
  <c r="J41" i="26"/>
  <c r="K41" i="26"/>
  <c r="J42" i="26"/>
  <c r="K42" i="26"/>
  <c r="J43" i="26"/>
  <c r="K43" i="26"/>
  <c r="J44" i="26"/>
  <c r="K44" i="26"/>
  <c r="J45" i="26"/>
  <c r="K45" i="26"/>
  <c r="J46" i="26"/>
  <c r="K46" i="26"/>
  <c r="J47" i="26"/>
  <c r="K47" i="26"/>
  <c r="J48" i="26"/>
  <c r="K48" i="26"/>
  <c r="J49" i="26"/>
  <c r="K49" i="26"/>
  <c r="J50" i="26"/>
  <c r="K50" i="26"/>
  <c r="J51" i="26"/>
  <c r="K51" i="26"/>
  <c r="K2" i="26"/>
  <c r="J2" i="26"/>
  <c r="I2" i="26"/>
  <c r="H65" i="31"/>
  <c r="H69" i="31"/>
  <c r="J3" i="32"/>
  <c r="K3" i="32"/>
  <c r="L43" i="31"/>
  <c r="L35" i="31"/>
  <c r="J3" i="8" l="1"/>
  <c r="J4" i="8"/>
  <c r="J5" i="8"/>
  <c r="J6" i="8"/>
  <c r="J7" i="8"/>
  <c r="J8" i="8"/>
  <c r="J9" i="8"/>
  <c r="J10" i="8"/>
  <c r="J11" i="8"/>
  <c r="J12" i="8"/>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2" i="8"/>
  <c r="L3" i="32"/>
  <c r="K4" i="32"/>
  <c r="L4" i="32"/>
  <c r="K5" i="32"/>
  <c r="L5" i="32"/>
  <c r="K6" i="32"/>
  <c r="L6" i="32"/>
  <c r="K7" i="32"/>
  <c r="L7" i="32"/>
  <c r="K8" i="32"/>
  <c r="L8" i="32"/>
  <c r="K9" i="32"/>
  <c r="L9" i="32"/>
  <c r="K10" i="32"/>
  <c r="L10" i="32"/>
  <c r="K11" i="32"/>
  <c r="L11" i="32"/>
  <c r="K12" i="32"/>
  <c r="L12" i="32"/>
  <c r="K13" i="32"/>
  <c r="L13" i="32"/>
  <c r="K14" i="32"/>
  <c r="L14" i="32"/>
  <c r="K15" i="32"/>
  <c r="L15" i="32"/>
  <c r="K16" i="32"/>
  <c r="L16" i="32"/>
  <c r="K17" i="32"/>
  <c r="L17" i="32"/>
  <c r="K18" i="32"/>
  <c r="L18" i="32"/>
  <c r="K19" i="32"/>
  <c r="L19" i="32"/>
  <c r="K20" i="32"/>
  <c r="L20" i="32"/>
  <c r="K21" i="32"/>
  <c r="L21" i="32"/>
  <c r="K22" i="32"/>
  <c r="L22" i="32"/>
  <c r="K23" i="32"/>
  <c r="L23" i="32"/>
  <c r="K24" i="32"/>
  <c r="L24" i="32"/>
  <c r="K25" i="32"/>
  <c r="L25" i="32"/>
  <c r="K26" i="32"/>
  <c r="L26" i="32"/>
  <c r="K27" i="32"/>
  <c r="L27" i="32"/>
  <c r="K28" i="32"/>
  <c r="L28" i="32"/>
  <c r="K29" i="32"/>
  <c r="L29" i="32"/>
  <c r="K30" i="32"/>
  <c r="L30" i="32"/>
  <c r="K31" i="32"/>
  <c r="L31" i="32"/>
  <c r="K32" i="32"/>
  <c r="L32" i="32"/>
  <c r="K33" i="32"/>
  <c r="L33" i="32"/>
  <c r="K34" i="32"/>
  <c r="L34" i="32"/>
  <c r="K35" i="32"/>
  <c r="L35" i="32"/>
  <c r="K36" i="32"/>
  <c r="L36" i="32"/>
  <c r="K37" i="32"/>
  <c r="L37" i="32"/>
  <c r="K38" i="32"/>
  <c r="L38" i="32"/>
  <c r="K39" i="32"/>
  <c r="L39" i="32"/>
  <c r="K40" i="32"/>
  <c r="L40" i="32"/>
  <c r="K41" i="32"/>
  <c r="L41" i="32"/>
  <c r="K42" i="32"/>
  <c r="L42" i="32"/>
  <c r="K43" i="32"/>
  <c r="L43" i="32"/>
  <c r="K44" i="32"/>
  <c r="L44" i="32"/>
  <c r="K45" i="32"/>
  <c r="L45" i="32"/>
  <c r="K46" i="32"/>
  <c r="L46" i="32"/>
  <c r="K47" i="32"/>
  <c r="L47" i="32"/>
  <c r="K48" i="32"/>
  <c r="L48" i="32"/>
  <c r="K49" i="32"/>
  <c r="L49" i="32"/>
  <c r="K50" i="32"/>
  <c r="L50" i="32"/>
  <c r="K51" i="32"/>
  <c r="L51" i="32"/>
  <c r="L2" i="32"/>
  <c r="K2" i="32"/>
  <c r="I3" i="32"/>
  <c r="I4" i="32"/>
  <c r="I5" i="32"/>
  <c r="I6" i="32"/>
  <c r="I7" i="32"/>
  <c r="I8" i="32"/>
  <c r="I9" i="32"/>
  <c r="I10" i="32"/>
  <c r="I11" i="32"/>
  <c r="I12" i="32"/>
  <c r="I13" i="32"/>
  <c r="I14" i="32"/>
  <c r="I15" i="32"/>
  <c r="I16" i="32"/>
  <c r="I17" i="32"/>
  <c r="I18" i="32"/>
  <c r="I19" i="32"/>
  <c r="I20" i="32"/>
  <c r="I21" i="32"/>
  <c r="I22" i="32"/>
  <c r="I23" i="32"/>
  <c r="I24" i="32"/>
  <c r="I25" i="32"/>
  <c r="I26" i="32"/>
  <c r="I27" i="32"/>
  <c r="I28" i="32"/>
  <c r="I29" i="32"/>
  <c r="I30" i="32"/>
  <c r="I31" i="32"/>
  <c r="I32" i="32"/>
  <c r="I33" i="32"/>
  <c r="I34" i="32"/>
  <c r="I35" i="32"/>
  <c r="I36" i="32"/>
  <c r="I37" i="32"/>
  <c r="I38" i="32"/>
  <c r="I39" i="32"/>
  <c r="I40" i="32"/>
  <c r="I41" i="32"/>
  <c r="I42" i="32"/>
  <c r="I43" i="32"/>
  <c r="I44" i="32"/>
  <c r="I45" i="32"/>
  <c r="I46" i="32"/>
  <c r="I47" i="32"/>
  <c r="I48" i="32"/>
  <c r="I49" i="32"/>
  <c r="I50" i="32"/>
  <c r="I51" i="32"/>
  <c r="I2" i="32"/>
  <c r="H3" i="32"/>
  <c r="H4" i="32"/>
  <c r="H5" i="32"/>
  <c r="H6" i="32"/>
  <c r="H7" i="32"/>
  <c r="H8" i="32"/>
  <c r="H9" i="32"/>
  <c r="H10" i="32"/>
  <c r="H11" i="32"/>
  <c r="H12" i="32"/>
  <c r="H13" i="32"/>
  <c r="H14" i="32"/>
  <c r="H15" i="32"/>
  <c r="H16" i="32"/>
  <c r="H17" i="32"/>
  <c r="H18" i="32"/>
  <c r="H19" i="32"/>
  <c r="H20" i="32"/>
  <c r="H21" i="32"/>
  <c r="H22" i="32"/>
  <c r="H23" i="32"/>
  <c r="H24" i="32"/>
  <c r="H25" i="32"/>
  <c r="H26" i="32"/>
  <c r="H27" i="32"/>
  <c r="H28" i="32"/>
  <c r="H29" i="32"/>
  <c r="H30" i="32"/>
  <c r="H31" i="32"/>
  <c r="H32" i="32"/>
  <c r="H33" i="32"/>
  <c r="H34" i="32"/>
  <c r="H35" i="32"/>
  <c r="H36" i="32"/>
  <c r="H37" i="32"/>
  <c r="H38" i="32"/>
  <c r="H39" i="32"/>
  <c r="H40" i="32"/>
  <c r="H41" i="32"/>
  <c r="H42" i="32"/>
  <c r="H43" i="32"/>
  <c r="H44" i="32"/>
  <c r="H45" i="32"/>
  <c r="H46" i="32"/>
  <c r="H47" i="32"/>
  <c r="H48" i="32"/>
  <c r="H49" i="32"/>
  <c r="H50" i="32"/>
  <c r="H51" i="32"/>
  <c r="H2" i="32"/>
  <c r="D23" i="31" l="1"/>
  <c r="D18" i="31"/>
  <c r="O3" i="8"/>
  <c r="O4" i="8"/>
  <c r="O5" i="8"/>
  <c r="O6" i="8"/>
  <c r="O7" i="8"/>
  <c r="O8" i="8"/>
  <c r="O9" i="8"/>
  <c r="O10" i="8"/>
  <c r="O11" i="8"/>
  <c r="O12" i="8"/>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2" i="8"/>
  <c r="F23" i="31"/>
  <c r="L53" i="42"/>
  <c r="J2" i="18" s="1"/>
  <c r="J15" i="18" s="1"/>
  <c r="I53" i="42"/>
  <c r="H2" i="18" s="1"/>
  <c r="F53" i="42"/>
  <c r="D2" i="18" s="1"/>
  <c r="D7" i="18" s="1"/>
  <c r="K5" i="35"/>
  <c r="L5" i="35"/>
  <c r="K6" i="35"/>
  <c r="L6" i="35"/>
  <c r="K7" i="35"/>
  <c r="L7" i="35"/>
  <c r="K8" i="35"/>
  <c r="L8" i="35"/>
  <c r="K9" i="35"/>
  <c r="L9" i="35"/>
  <c r="K10" i="35"/>
  <c r="L10" i="35"/>
  <c r="K11" i="35"/>
  <c r="L11" i="35"/>
  <c r="K12" i="35"/>
  <c r="L12" i="35"/>
  <c r="K13" i="35"/>
  <c r="L13" i="35"/>
  <c r="K14" i="35"/>
  <c r="L14" i="35"/>
  <c r="K15" i="35"/>
  <c r="L15" i="35"/>
  <c r="K16" i="35"/>
  <c r="L16" i="35"/>
  <c r="K17" i="35"/>
  <c r="L17" i="35"/>
  <c r="K18" i="35"/>
  <c r="L18" i="35"/>
  <c r="K19" i="35"/>
  <c r="L19" i="35"/>
  <c r="K20" i="35"/>
  <c r="L20" i="35"/>
  <c r="K21" i="35"/>
  <c r="L21" i="35"/>
  <c r="K22" i="35"/>
  <c r="L22" i="35"/>
  <c r="K23" i="35"/>
  <c r="L23" i="35"/>
  <c r="K24" i="35"/>
  <c r="L24" i="35"/>
  <c r="K25" i="35"/>
  <c r="L25" i="35"/>
  <c r="K26" i="35"/>
  <c r="L26" i="35"/>
  <c r="K27" i="35"/>
  <c r="L27" i="35"/>
  <c r="K28" i="35"/>
  <c r="L28" i="35"/>
  <c r="K29" i="35"/>
  <c r="L29" i="35"/>
  <c r="K30" i="35"/>
  <c r="L30" i="35"/>
  <c r="K31" i="35"/>
  <c r="L31" i="35"/>
  <c r="K32" i="35"/>
  <c r="L32" i="35"/>
  <c r="K33" i="35"/>
  <c r="L33" i="35"/>
  <c r="K34" i="35"/>
  <c r="L34" i="35"/>
  <c r="K35" i="35"/>
  <c r="L35" i="35"/>
  <c r="K36" i="35"/>
  <c r="L36" i="35"/>
  <c r="K37" i="35"/>
  <c r="L37" i="35"/>
  <c r="K38" i="35"/>
  <c r="L38" i="35"/>
  <c r="K39" i="35"/>
  <c r="L39" i="35"/>
  <c r="K40" i="35"/>
  <c r="L40" i="35"/>
  <c r="K41" i="35"/>
  <c r="L41" i="35"/>
  <c r="K42" i="35"/>
  <c r="L42" i="35"/>
  <c r="K43" i="35"/>
  <c r="L43" i="35"/>
  <c r="K44" i="35"/>
  <c r="L44" i="35"/>
  <c r="K45" i="35"/>
  <c r="L45" i="35"/>
  <c r="K46" i="35"/>
  <c r="L46" i="35"/>
  <c r="K47" i="35"/>
  <c r="L47" i="35"/>
  <c r="K48" i="35"/>
  <c r="L48" i="35"/>
  <c r="K49" i="35"/>
  <c r="L49" i="35"/>
  <c r="K50" i="35"/>
  <c r="L50" i="35"/>
  <c r="K51" i="35"/>
  <c r="L51" i="35"/>
  <c r="K52" i="35"/>
  <c r="L52" i="35"/>
  <c r="K53" i="35"/>
  <c r="L53" i="35"/>
  <c r="L4" i="35"/>
  <c r="K4" i="35"/>
  <c r="AF43" i="3"/>
  <c r="AG43" i="3"/>
  <c r="AE43" i="3"/>
  <c r="AA43" i="3"/>
  <c r="AB43" i="3"/>
  <c r="Z43" i="3"/>
  <c r="V43" i="3"/>
  <c r="W43" i="3"/>
  <c r="U43" i="3"/>
  <c r="R43" i="3"/>
  <c r="S43" i="3"/>
  <c r="Q43" i="3"/>
  <c r="H39" i="6"/>
  <c r="E39" i="6"/>
  <c r="AF39" i="3"/>
  <c r="AG39" i="3"/>
  <c r="AE39" i="3"/>
  <c r="AA39" i="3"/>
  <c r="AB39" i="3"/>
  <c r="Z39" i="3"/>
  <c r="V39" i="3"/>
  <c r="W39" i="3"/>
  <c r="U39" i="3"/>
  <c r="R39" i="3"/>
  <c r="S39" i="3"/>
  <c r="Q39" i="3"/>
  <c r="H18" i="6"/>
  <c r="E18" i="6"/>
  <c r="AF18" i="3"/>
  <c r="AG18" i="3"/>
  <c r="AE18" i="3"/>
  <c r="AB18" i="3"/>
  <c r="AC18" i="3" s="1"/>
  <c r="AA18" i="3"/>
  <c r="Z18" i="3"/>
  <c r="X18" i="3"/>
  <c r="X49" i="3"/>
  <c r="T18" i="3"/>
  <c r="U18" i="3"/>
  <c r="V18" i="3"/>
  <c r="W18" i="3"/>
  <c r="S18" i="3"/>
  <c r="R18" i="3"/>
  <c r="Q18" i="3"/>
  <c r="B23" i="31" l="1"/>
  <c r="D50" i="18"/>
  <c r="J43" i="18"/>
  <c r="D49" i="18"/>
  <c r="D36" i="18"/>
  <c r="D35" i="18"/>
  <c r="J16" i="18"/>
  <c r="J30" i="18"/>
  <c r="J44" i="18"/>
  <c r="J3" i="18"/>
  <c r="J17" i="18"/>
  <c r="J31" i="18"/>
  <c r="J45" i="18"/>
  <c r="J4" i="18"/>
  <c r="J18" i="18"/>
  <c r="J32" i="18"/>
  <c r="J46" i="18"/>
  <c r="J5" i="18"/>
  <c r="J19" i="18"/>
  <c r="J33" i="18"/>
  <c r="J47" i="18"/>
  <c r="J6" i="18"/>
  <c r="J20" i="18"/>
  <c r="J34" i="18"/>
  <c r="J48" i="18"/>
  <c r="J7" i="18"/>
  <c r="J21" i="18"/>
  <c r="J35" i="18"/>
  <c r="J49" i="18"/>
  <c r="J8" i="18"/>
  <c r="J22" i="18"/>
  <c r="J36" i="18"/>
  <c r="J50" i="18"/>
  <c r="J9" i="18"/>
  <c r="J23" i="18"/>
  <c r="J37" i="18"/>
  <c r="J51" i="18"/>
  <c r="J10" i="18"/>
  <c r="J24" i="18"/>
  <c r="J38" i="18"/>
  <c r="J52" i="18"/>
  <c r="J11" i="18"/>
  <c r="J25" i="18"/>
  <c r="J39" i="18"/>
  <c r="J12" i="18"/>
  <c r="J26" i="18"/>
  <c r="J40" i="18"/>
  <c r="J13" i="18"/>
  <c r="J27" i="18"/>
  <c r="J41" i="18"/>
  <c r="D22" i="18"/>
  <c r="D21" i="18"/>
  <c r="J42" i="18"/>
  <c r="D8" i="18"/>
  <c r="J29" i="18"/>
  <c r="J28" i="18"/>
  <c r="D9" i="18"/>
  <c r="D23" i="18"/>
  <c r="D37" i="18"/>
  <c r="D51" i="18"/>
  <c r="D10" i="18"/>
  <c r="D24" i="18"/>
  <c r="D38" i="18"/>
  <c r="D52" i="18"/>
  <c r="D11" i="18"/>
  <c r="D25" i="18"/>
  <c r="D39" i="18"/>
  <c r="D3" i="18"/>
  <c r="D12" i="18"/>
  <c r="D26" i="18"/>
  <c r="D40" i="18"/>
  <c r="D13" i="18"/>
  <c r="D27" i="18"/>
  <c r="D41" i="18"/>
  <c r="D14" i="18"/>
  <c r="D28" i="18"/>
  <c r="D42" i="18"/>
  <c r="D15" i="18"/>
  <c r="D29" i="18"/>
  <c r="D43" i="18"/>
  <c r="D16" i="18"/>
  <c r="D30" i="18"/>
  <c r="D44" i="18"/>
  <c r="D17" i="18"/>
  <c r="D31" i="18"/>
  <c r="D45" i="18"/>
  <c r="D4" i="18"/>
  <c r="D18" i="18"/>
  <c r="D32" i="18"/>
  <c r="D46" i="18"/>
  <c r="D5" i="18"/>
  <c r="D19" i="18"/>
  <c r="D33" i="18"/>
  <c r="D47" i="18"/>
  <c r="D6" i="18"/>
  <c r="D20" i="18"/>
  <c r="D34" i="18"/>
  <c r="D48" i="18"/>
  <c r="J14" i="18"/>
  <c r="J17" i="39"/>
  <c r="J18" i="39"/>
  <c r="J19" i="39"/>
  <c r="J20" i="39"/>
  <c r="J21" i="39"/>
  <c r="J22" i="39"/>
  <c r="J23" i="39"/>
  <c r="J24" i="39"/>
  <c r="J25" i="39"/>
  <c r="J26" i="39"/>
  <c r="J27" i="39"/>
  <c r="J28" i="39"/>
  <c r="J29" i="39"/>
  <c r="J30" i="39"/>
  <c r="J31" i="39"/>
  <c r="J32" i="39"/>
  <c r="J33" i="39"/>
  <c r="J34" i="39"/>
  <c r="J35" i="39"/>
  <c r="J36" i="39"/>
  <c r="J37" i="39"/>
  <c r="J38" i="39"/>
  <c r="J39" i="39"/>
  <c r="J40" i="39"/>
  <c r="J41" i="39"/>
  <c r="J42" i="39"/>
  <c r="J43" i="39"/>
  <c r="J44" i="39"/>
  <c r="J45" i="39"/>
  <c r="J46" i="39"/>
  <c r="J47" i="39"/>
  <c r="J48" i="39"/>
  <c r="J49" i="39"/>
  <c r="J50" i="39"/>
  <c r="J51" i="39"/>
  <c r="J14" i="39"/>
  <c r="J15" i="39"/>
  <c r="J16" i="39"/>
  <c r="J3" i="39"/>
  <c r="J4" i="39"/>
  <c r="J5" i="39"/>
  <c r="J6" i="39"/>
  <c r="J7" i="39"/>
  <c r="J8" i="39"/>
  <c r="J9" i="39"/>
  <c r="J10" i="39"/>
  <c r="J11" i="39"/>
  <c r="J12" i="39"/>
  <c r="J13" i="39"/>
  <c r="J2" i="39"/>
  <c r="F5" i="18" l="1"/>
  <c r="F19" i="18"/>
  <c r="F33" i="18"/>
  <c r="F47" i="18"/>
  <c r="F6" i="18"/>
  <c r="F20" i="18"/>
  <c r="F34" i="18"/>
  <c r="F48" i="18"/>
  <c r="F7" i="18"/>
  <c r="F21" i="18"/>
  <c r="F35" i="18"/>
  <c r="F49" i="18"/>
  <c r="F8" i="18"/>
  <c r="F22" i="18"/>
  <c r="F36" i="18"/>
  <c r="F50" i="18"/>
  <c r="F9" i="18"/>
  <c r="F23" i="18"/>
  <c r="F37" i="18"/>
  <c r="F51" i="18"/>
  <c r="F10" i="18"/>
  <c r="F24" i="18"/>
  <c r="F38" i="18"/>
  <c r="F52" i="18"/>
  <c r="F11" i="18"/>
  <c r="F25" i="18"/>
  <c r="F39" i="18"/>
  <c r="F3" i="18"/>
  <c r="F12" i="18"/>
  <c r="F26" i="18"/>
  <c r="F40" i="18"/>
  <c r="F13" i="18"/>
  <c r="F27" i="18"/>
  <c r="F41" i="18"/>
  <c r="F14" i="18"/>
  <c r="F28" i="18"/>
  <c r="F42" i="18"/>
  <c r="F15" i="18"/>
  <c r="F29" i="18"/>
  <c r="F43" i="18"/>
  <c r="F16" i="18"/>
  <c r="F30" i="18"/>
  <c r="F44" i="18"/>
  <c r="F46" i="18"/>
  <c r="F17" i="18"/>
  <c r="F4" i="18"/>
  <c r="F18" i="18"/>
  <c r="F31" i="18"/>
  <c r="F45" i="18"/>
  <c r="F32" i="18"/>
  <c r="F14" i="39"/>
  <c r="F15" i="39"/>
  <c r="F16" i="39"/>
  <c r="F17" i="39"/>
  <c r="F18" i="39"/>
  <c r="F19" i="39"/>
  <c r="F20" i="39"/>
  <c r="F21" i="39"/>
  <c r="F22" i="39"/>
  <c r="F23" i="39"/>
  <c r="F24" i="39"/>
  <c r="F25" i="39"/>
  <c r="F26" i="39"/>
  <c r="F27" i="39"/>
  <c r="F28" i="39"/>
  <c r="F29" i="39"/>
  <c r="F30" i="39"/>
  <c r="F31" i="39"/>
  <c r="F32" i="39"/>
  <c r="F33" i="39"/>
  <c r="F34" i="39"/>
  <c r="F35" i="39"/>
  <c r="F36" i="39"/>
  <c r="F37" i="39"/>
  <c r="F38" i="39"/>
  <c r="F39" i="39"/>
  <c r="F40" i="39"/>
  <c r="F41" i="39"/>
  <c r="F42" i="39"/>
  <c r="F43" i="39"/>
  <c r="F44" i="39"/>
  <c r="F45" i="39"/>
  <c r="F46" i="39"/>
  <c r="F47" i="39"/>
  <c r="F48" i="39"/>
  <c r="F49" i="39"/>
  <c r="F50" i="39"/>
  <c r="F51" i="39"/>
  <c r="F3" i="39"/>
  <c r="F4" i="39"/>
  <c r="F5" i="39"/>
  <c r="F6" i="39"/>
  <c r="F7" i="39"/>
  <c r="F8" i="39"/>
  <c r="F9" i="39"/>
  <c r="F10" i="39"/>
  <c r="F11" i="39"/>
  <c r="F12" i="39"/>
  <c r="F13" i="39"/>
  <c r="F2" i="39"/>
  <c r="V5" i="35"/>
  <c r="V6" i="35"/>
  <c r="V7" i="35"/>
  <c r="V8" i="35"/>
  <c r="V9" i="35"/>
  <c r="V10" i="35"/>
  <c r="V11" i="35"/>
  <c r="V12" i="35"/>
  <c r="V13" i="35"/>
  <c r="V14" i="35"/>
  <c r="V15" i="35"/>
  <c r="V16" i="35"/>
  <c r="V17" i="35"/>
  <c r="V18" i="35"/>
  <c r="V19" i="35"/>
  <c r="V20" i="35"/>
  <c r="V21" i="35"/>
  <c r="V22" i="35"/>
  <c r="V23" i="35"/>
  <c r="V24" i="35"/>
  <c r="V25" i="35"/>
  <c r="V26" i="35"/>
  <c r="V27" i="35"/>
  <c r="V28" i="35"/>
  <c r="V29" i="35"/>
  <c r="V30" i="35"/>
  <c r="V31" i="35"/>
  <c r="V32" i="35"/>
  <c r="V33" i="35"/>
  <c r="V34" i="35"/>
  <c r="V35" i="35"/>
  <c r="V36" i="35"/>
  <c r="V37" i="35"/>
  <c r="V38" i="35"/>
  <c r="V39" i="35"/>
  <c r="V40" i="35"/>
  <c r="V41" i="35"/>
  <c r="V42" i="35"/>
  <c r="V43" i="35"/>
  <c r="V44" i="35"/>
  <c r="V45" i="35"/>
  <c r="V46" i="35"/>
  <c r="V47" i="35"/>
  <c r="V48" i="35"/>
  <c r="V49" i="35"/>
  <c r="V50" i="35"/>
  <c r="V51" i="35"/>
  <c r="V52" i="35"/>
  <c r="V53" i="35"/>
  <c r="V4" i="35"/>
  <c r="F147" i="31" s="1"/>
  <c r="X5" i="35"/>
  <c r="X6" i="35"/>
  <c r="X7" i="35"/>
  <c r="X8" i="35"/>
  <c r="X9" i="35"/>
  <c r="X10" i="35"/>
  <c r="X11" i="35"/>
  <c r="X12" i="35"/>
  <c r="X13" i="35"/>
  <c r="X14" i="35"/>
  <c r="X15" i="35"/>
  <c r="X16" i="35"/>
  <c r="X17" i="35"/>
  <c r="X18" i="35"/>
  <c r="X19" i="35"/>
  <c r="X20" i="35"/>
  <c r="X21" i="35"/>
  <c r="X22" i="35"/>
  <c r="X23" i="35"/>
  <c r="X24" i="35"/>
  <c r="X25" i="35"/>
  <c r="X26" i="35"/>
  <c r="X27" i="35"/>
  <c r="X28" i="35"/>
  <c r="X29" i="35"/>
  <c r="X30" i="35"/>
  <c r="X31" i="35"/>
  <c r="X32" i="35"/>
  <c r="X33" i="35"/>
  <c r="X34" i="35"/>
  <c r="X35" i="35"/>
  <c r="X36" i="35"/>
  <c r="X37" i="35"/>
  <c r="X38" i="35"/>
  <c r="X39" i="35"/>
  <c r="X40" i="35"/>
  <c r="X41" i="35"/>
  <c r="X42" i="35"/>
  <c r="X43" i="35"/>
  <c r="X44" i="35"/>
  <c r="X45" i="35"/>
  <c r="X46" i="35"/>
  <c r="X47" i="35"/>
  <c r="X48" i="35"/>
  <c r="X49" i="35"/>
  <c r="X50" i="35"/>
  <c r="X51" i="35"/>
  <c r="X52" i="35"/>
  <c r="X53" i="35"/>
  <c r="X4" i="35"/>
  <c r="J147" i="31" s="1"/>
  <c r="U39" i="24"/>
  <c r="U2" i="24"/>
  <c r="F15" i="31"/>
  <c r="Q3" i="6"/>
  <c r="Q4" i="6"/>
  <c r="Q5" i="6"/>
  <c r="Q6" i="6"/>
  <c r="Q7" i="6"/>
  <c r="Q8" i="6"/>
  <c r="Q9" i="6"/>
  <c r="Q10" i="6"/>
  <c r="Q11" i="6"/>
  <c r="Q12" i="6"/>
  <c r="Q13" i="6"/>
  <c r="Q14" i="6"/>
  <c r="Q15" i="6"/>
  <c r="Q16" i="6"/>
  <c r="Q17" i="6"/>
  <c r="Q18" i="6"/>
  <c r="Q19" i="6"/>
  <c r="Q20" i="6"/>
  <c r="Q21" i="6"/>
  <c r="Q22" i="6"/>
  <c r="Q23" i="6"/>
  <c r="Q24" i="6"/>
  <c r="Q25" i="6"/>
  <c r="Q26" i="6"/>
  <c r="Q27" i="6"/>
  <c r="Q28" i="6"/>
  <c r="Q29" i="6"/>
  <c r="Q30" i="6"/>
  <c r="Q31" i="6"/>
  <c r="Q32" i="6"/>
  <c r="Q33" i="6"/>
  <c r="Q34" i="6"/>
  <c r="Q35" i="6"/>
  <c r="Q36" i="6"/>
  <c r="Q37" i="6"/>
  <c r="Q38" i="6"/>
  <c r="Q39" i="6"/>
  <c r="Q40" i="6"/>
  <c r="Q41" i="6"/>
  <c r="Q42" i="6"/>
  <c r="Q43" i="6"/>
  <c r="Q44" i="6"/>
  <c r="Q45" i="6"/>
  <c r="Q46" i="6"/>
  <c r="Q47" i="6"/>
  <c r="Q48" i="6"/>
  <c r="Q49" i="6"/>
  <c r="Q50" i="6"/>
  <c r="Q51" i="6"/>
  <c r="Q2" i="6"/>
  <c r="L3" i="6"/>
  <c r="L4" i="6"/>
  <c r="L5" i="6"/>
  <c r="L6" i="6"/>
  <c r="L7" i="6"/>
  <c r="L8" i="6"/>
  <c r="L9" i="6"/>
  <c r="L10" i="6"/>
  <c r="L11"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L41" i="6"/>
  <c r="L42" i="6"/>
  <c r="L43" i="6"/>
  <c r="L44" i="6"/>
  <c r="L45" i="6"/>
  <c r="L46" i="6"/>
  <c r="L47" i="6"/>
  <c r="L48" i="6"/>
  <c r="L49" i="6"/>
  <c r="L50" i="6"/>
  <c r="L51" i="6"/>
  <c r="L2" i="6"/>
  <c r="I3" i="6"/>
  <c r="I4" i="6"/>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2" i="6"/>
  <c r="F3" i="6"/>
  <c r="F4" i="6"/>
  <c r="F5" i="6"/>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2" i="6"/>
  <c r="D14" i="31"/>
  <c r="R43" i="24"/>
  <c r="U43" i="24" s="1"/>
  <c r="R42" i="24"/>
  <c r="U42" i="24" s="1"/>
  <c r="R41" i="24"/>
  <c r="U41" i="24" s="1"/>
  <c r="R40" i="24"/>
  <c r="U40" i="24" s="1"/>
  <c r="R39" i="24"/>
  <c r="R29" i="24"/>
  <c r="U29" i="24" s="1"/>
  <c r="R28" i="24"/>
  <c r="U28" i="24" s="1"/>
  <c r="R27" i="24"/>
  <c r="U27" i="24" s="1"/>
  <c r="R26" i="24"/>
  <c r="U26" i="24" s="1"/>
  <c r="R25" i="24"/>
  <c r="U25" i="24" s="1"/>
  <c r="R15" i="24"/>
  <c r="U15" i="24" s="1"/>
  <c r="R14" i="24"/>
  <c r="U14" i="24" s="1"/>
  <c r="R13" i="24"/>
  <c r="U13" i="24" s="1"/>
  <c r="R12" i="24"/>
  <c r="U12" i="24" s="1"/>
  <c r="R11" i="24"/>
  <c r="U11" i="24" s="1"/>
  <c r="R52" i="24"/>
  <c r="U52" i="24" s="1"/>
  <c r="P2" i="24"/>
  <c r="L2" i="24" s="1"/>
  <c r="V2" i="24" l="1"/>
  <c r="R16" i="24"/>
  <c r="U16" i="24" s="1"/>
  <c r="R30" i="24"/>
  <c r="U30" i="24" s="1"/>
  <c r="R44" i="24"/>
  <c r="U44" i="24" s="1"/>
  <c r="R3" i="24"/>
  <c r="U3" i="24" s="1"/>
  <c r="R17" i="24"/>
  <c r="U17" i="24" s="1"/>
  <c r="R31" i="24"/>
  <c r="U31" i="24" s="1"/>
  <c r="R45" i="24"/>
  <c r="U45" i="24" s="1"/>
  <c r="R4" i="24"/>
  <c r="U4" i="24" s="1"/>
  <c r="R18" i="24"/>
  <c r="U18" i="24" s="1"/>
  <c r="R32" i="24"/>
  <c r="U32" i="24" s="1"/>
  <c r="R46" i="24"/>
  <c r="U46" i="24" s="1"/>
  <c r="R5" i="24"/>
  <c r="U5" i="24" s="1"/>
  <c r="R19" i="24"/>
  <c r="U19" i="24" s="1"/>
  <c r="R33" i="24"/>
  <c r="U33" i="24" s="1"/>
  <c r="R47" i="24"/>
  <c r="U47" i="24" s="1"/>
  <c r="R6" i="24"/>
  <c r="U6" i="24" s="1"/>
  <c r="R20" i="24"/>
  <c r="U20" i="24" s="1"/>
  <c r="R34" i="24"/>
  <c r="U34" i="24" s="1"/>
  <c r="R48" i="24"/>
  <c r="U48" i="24" s="1"/>
  <c r="R7" i="24"/>
  <c r="U7" i="24" s="1"/>
  <c r="R21" i="24"/>
  <c r="U21" i="24" s="1"/>
  <c r="R35" i="24"/>
  <c r="U35" i="24" s="1"/>
  <c r="R49" i="24"/>
  <c r="U49" i="24" s="1"/>
  <c r="R8" i="24"/>
  <c r="U8" i="24" s="1"/>
  <c r="R22" i="24"/>
  <c r="U22" i="24" s="1"/>
  <c r="R36" i="24"/>
  <c r="U36" i="24" s="1"/>
  <c r="R50" i="24"/>
  <c r="U50" i="24" s="1"/>
  <c r="R9" i="24"/>
  <c r="U9" i="24" s="1"/>
  <c r="R23" i="24"/>
  <c r="U23" i="24" s="1"/>
  <c r="R37" i="24"/>
  <c r="U37" i="24" s="1"/>
  <c r="R51" i="24"/>
  <c r="U51" i="24" s="1"/>
  <c r="R10" i="24"/>
  <c r="U10" i="24" s="1"/>
  <c r="R24" i="24"/>
  <c r="U24" i="24" s="1"/>
  <c r="R38" i="24"/>
  <c r="U38" i="24" s="1"/>
  <c r="N2" i="24"/>
  <c r="S2" i="27"/>
  <c r="T2" i="27"/>
  <c r="U2" i="27"/>
  <c r="V2" i="27"/>
  <c r="W2" i="27"/>
  <c r="X2" i="27"/>
  <c r="H4" i="18"/>
  <c r="H5" i="18"/>
  <c r="H6" i="18"/>
  <c r="H7" i="18"/>
  <c r="H8" i="18"/>
  <c r="H9" i="18"/>
  <c r="H10" i="18"/>
  <c r="H11" i="18"/>
  <c r="H12" i="18"/>
  <c r="H13" i="18"/>
  <c r="H14" i="18"/>
  <c r="H15" i="18"/>
  <c r="H16" i="18"/>
  <c r="H17" i="18"/>
  <c r="H18" i="18"/>
  <c r="H19" i="18"/>
  <c r="H20" i="18"/>
  <c r="H21" i="18"/>
  <c r="H22" i="18"/>
  <c r="H23"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3" i="18"/>
  <c r="L39" i="31" s="1"/>
  <c r="J19" i="31"/>
  <c r="H19" i="31"/>
  <c r="H15" i="31"/>
  <c r="AJ3" i="29"/>
  <c r="L40" i="3"/>
  <c r="L39" i="3"/>
  <c r="L38" i="3"/>
  <c r="L26" i="3"/>
  <c r="L25" i="3"/>
  <c r="L12" i="3"/>
  <c r="L3" i="3"/>
  <c r="L4" i="3"/>
  <c r="L5" i="3"/>
  <c r="L6" i="3"/>
  <c r="L7" i="3"/>
  <c r="M22" i="8" s="1"/>
  <c r="L8" i="3"/>
  <c r="M29" i="8" s="1"/>
  <c r="L9" i="3"/>
  <c r="M35" i="8" s="1"/>
  <c r="L14" i="3"/>
  <c r="L15" i="3"/>
  <c r="L16" i="3"/>
  <c r="L17" i="3"/>
  <c r="L18" i="3"/>
  <c r="L19" i="3"/>
  <c r="L20" i="3"/>
  <c r="L21" i="3"/>
  <c r="L22" i="3"/>
  <c r="L23" i="3"/>
  <c r="L28" i="3"/>
  <c r="L29" i="3"/>
  <c r="L30" i="3"/>
  <c r="L31" i="3"/>
  <c r="L32" i="3"/>
  <c r="M43" i="8" s="1"/>
  <c r="L33" i="3"/>
  <c r="L34" i="3"/>
  <c r="L35" i="3"/>
  <c r="L36" i="3"/>
  <c r="L37" i="3"/>
  <c r="L42" i="3"/>
  <c r="L43" i="3"/>
  <c r="L44" i="3"/>
  <c r="L45" i="3"/>
  <c r="L46" i="3"/>
  <c r="L47" i="3"/>
  <c r="L48" i="3"/>
  <c r="M19" i="8" s="1"/>
  <c r="L49" i="3"/>
  <c r="L50" i="3"/>
  <c r="M3" i="8" s="1"/>
  <c r="L51" i="3"/>
  <c r="L2" i="3"/>
  <c r="O3" i="3"/>
  <c r="O4" i="3"/>
  <c r="O5" i="3"/>
  <c r="O6" i="3"/>
  <c r="O7" i="3"/>
  <c r="O8" i="3"/>
  <c r="O9" i="3"/>
  <c r="O10" i="3"/>
  <c r="O11" i="3"/>
  <c r="O12" i="3"/>
  <c r="O13" i="3"/>
  <c r="N32" i="8" s="1"/>
  <c r="O14" i="3"/>
  <c r="O15" i="3"/>
  <c r="O16" i="3"/>
  <c r="O17" i="3"/>
  <c r="O18" i="3"/>
  <c r="O19" i="3"/>
  <c r="O20" i="3"/>
  <c r="O21" i="3"/>
  <c r="O22" i="3"/>
  <c r="O23" i="3"/>
  <c r="O24" i="3"/>
  <c r="O25" i="3"/>
  <c r="N23" i="8" s="1"/>
  <c r="O26" i="3"/>
  <c r="N6" i="8" s="1"/>
  <c r="O27" i="3"/>
  <c r="O28" i="3"/>
  <c r="O29" i="3"/>
  <c r="O30" i="3"/>
  <c r="O31" i="3"/>
  <c r="O32" i="3"/>
  <c r="O33" i="3"/>
  <c r="O34" i="3"/>
  <c r="O35" i="3"/>
  <c r="O36" i="3"/>
  <c r="O37" i="3"/>
  <c r="O38" i="3"/>
  <c r="O39" i="3"/>
  <c r="N50" i="8" s="1"/>
  <c r="O40" i="3"/>
  <c r="O41" i="3"/>
  <c r="O42" i="3"/>
  <c r="O43" i="3"/>
  <c r="O44" i="3"/>
  <c r="O45" i="3"/>
  <c r="O46" i="3"/>
  <c r="N46" i="8" s="1"/>
  <c r="O47" i="3"/>
  <c r="O48" i="3"/>
  <c r="O49" i="3"/>
  <c r="O50" i="3"/>
  <c r="O51" i="3"/>
  <c r="O2" i="3"/>
  <c r="I3" i="3"/>
  <c r="I4" i="3"/>
  <c r="L16" i="8" s="1"/>
  <c r="I5" i="3"/>
  <c r="I6" i="3"/>
  <c r="I7" i="3"/>
  <c r="I8" i="3"/>
  <c r="I9" i="3"/>
  <c r="I10" i="3"/>
  <c r="I11" i="3"/>
  <c r="I12" i="3"/>
  <c r="I13" i="3"/>
  <c r="I14" i="3"/>
  <c r="I15" i="3"/>
  <c r="I16" i="3"/>
  <c r="I17" i="3"/>
  <c r="L15" i="8" s="1"/>
  <c r="I18" i="3"/>
  <c r="I19" i="3"/>
  <c r="I20" i="3"/>
  <c r="I21" i="3"/>
  <c r="I22" i="3"/>
  <c r="I23" i="3"/>
  <c r="I24" i="3"/>
  <c r="I25" i="3"/>
  <c r="I26" i="3"/>
  <c r="I27" i="3"/>
  <c r="I28" i="3"/>
  <c r="I29" i="3"/>
  <c r="I30" i="3"/>
  <c r="I31" i="3"/>
  <c r="L2" i="8" s="1"/>
  <c r="I32" i="3"/>
  <c r="L43" i="8" s="1"/>
  <c r="I33" i="3"/>
  <c r="I34" i="3"/>
  <c r="L41" i="8" s="1"/>
  <c r="I35" i="3"/>
  <c r="I36" i="3"/>
  <c r="I37" i="3"/>
  <c r="I38" i="3"/>
  <c r="I39" i="3"/>
  <c r="I40" i="3"/>
  <c r="I41" i="3"/>
  <c r="I42" i="3"/>
  <c r="I43" i="3"/>
  <c r="L51" i="8" s="1"/>
  <c r="I44" i="3"/>
  <c r="L25" i="8" s="1"/>
  <c r="I45" i="3"/>
  <c r="L26" i="8" s="1"/>
  <c r="I46" i="3"/>
  <c r="L46" i="8" s="1"/>
  <c r="I47" i="3"/>
  <c r="L12" i="8" s="1"/>
  <c r="I48" i="3"/>
  <c r="I49" i="3"/>
  <c r="I50" i="3"/>
  <c r="I51" i="3"/>
  <c r="I2" i="3"/>
  <c r="F2" i="3"/>
  <c r="F3" i="3"/>
  <c r="F4" i="3"/>
  <c r="F5" i="3"/>
  <c r="F6" i="3"/>
  <c r="F7" i="3"/>
  <c r="F8" i="3"/>
  <c r="K29" i="8" s="1"/>
  <c r="F9" i="3"/>
  <c r="K35" i="8" s="1"/>
  <c r="F10" i="3"/>
  <c r="F11" i="3"/>
  <c r="K14" i="8" s="1"/>
  <c r="F12" i="3"/>
  <c r="F13" i="3"/>
  <c r="F14" i="3"/>
  <c r="F15" i="3"/>
  <c r="F16" i="3"/>
  <c r="F17" i="3"/>
  <c r="F18" i="3"/>
  <c r="F19" i="3"/>
  <c r="F20" i="3"/>
  <c r="F21" i="3"/>
  <c r="K42" i="8" s="1"/>
  <c r="F22" i="3"/>
  <c r="F23" i="3"/>
  <c r="F24" i="3"/>
  <c r="K36" i="8" s="1"/>
  <c r="F25" i="3"/>
  <c r="F26" i="3"/>
  <c r="F27" i="3"/>
  <c r="F28" i="3"/>
  <c r="F29" i="3"/>
  <c r="F30" i="3"/>
  <c r="F31" i="3"/>
  <c r="K2" i="8" s="1"/>
  <c r="F32" i="3"/>
  <c r="F33" i="3"/>
  <c r="F34" i="3"/>
  <c r="F35" i="3"/>
  <c r="K28" i="8" s="1"/>
  <c r="F36" i="3"/>
  <c r="F37" i="3"/>
  <c r="K17" i="8" s="1"/>
  <c r="F38" i="3"/>
  <c r="K5" i="8" s="1"/>
  <c r="F39" i="3"/>
  <c r="F40" i="3"/>
  <c r="F41" i="3"/>
  <c r="F42" i="3"/>
  <c r="F43" i="3"/>
  <c r="F44" i="3"/>
  <c r="F45" i="3"/>
  <c r="F46" i="3"/>
  <c r="K46" i="8" s="1"/>
  <c r="F47" i="3"/>
  <c r="F48" i="3"/>
  <c r="F49" i="3"/>
  <c r="K34" i="8" s="1"/>
  <c r="F50" i="3"/>
  <c r="K3" i="8" s="1"/>
  <c r="F51" i="3"/>
  <c r="M2" i="8" l="1"/>
  <c r="K15" i="8"/>
  <c r="N36" i="8"/>
  <c r="K27" i="8"/>
  <c r="L22" i="8"/>
  <c r="N5" i="8"/>
  <c r="L24" i="8"/>
  <c r="K44" i="8"/>
  <c r="L10" i="8"/>
  <c r="N19" i="8"/>
  <c r="M39" i="8"/>
  <c r="N3" i="8"/>
  <c r="L37" i="8"/>
  <c r="M18" i="8"/>
  <c r="L9" i="8"/>
  <c r="M21" i="8"/>
  <c r="K33" i="8"/>
  <c r="M46" i="8"/>
  <c r="K19" i="8"/>
  <c r="K41" i="8"/>
  <c r="N33" i="8"/>
  <c r="N17" i="8"/>
  <c r="N35" i="8"/>
  <c r="M26" i="8"/>
  <c r="M44" i="8"/>
  <c r="M34" i="8"/>
  <c r="K13" i="8"/>
  <c r="M16" i="8"/>
  <c r="N31" i="8"/>
  <c r="L8" i="8"/>
  <c r="M17" i="8"/>
  <c r="M33" i="8"/>
  <c r="L36" i="8"/>
  <c r="N16" i="8"/>
  <c r="L49" i="8"/>
  <c r="N27" i="8"/>
  <c r="N13" i="8"/>
  <c r="L40" i="8"/>
  <c r="L7" i="8"/>
  <c r="N29" i="8"/>
  <c r="N14" i="8"/>
  <c r="K12" i="8"/>
  <c r="K47" i="8"/>
  <c r="K43" i="8"/>
  <c r="K16" i="8"/>
  <c r="N34" i="8"/>
  <c r="N28" i="8"/>
  <c r="M51" i="8"/>
  <c r="K26" i="8"/>
  <c r="N21" i="8"/>
  <c r="K38" i="8"/>
  <c r="K11" i="8"/>
  <c r="L30" i="8"/>
  <c r="K24" i="8"/>
  <c r="N43" i="8"/>
  <c r="K40" i="8"/>
  <c r="N15" i="8"/>
  <c r="L21" i="8"/>
  <c r="M40" i="8"/>
  <c r="L20" i="8"/>
  <c r="L38" i="8"/>
  <c r="L11" i="8"/>
  <c r="M4" i="8"/>
  <c r="K50" i="8"/>
  <c r="K23" i="8"/>
  <c r="N10" i="8"/>
  <c r="N40" i="8"/>
  <c r="M7" i="8"/>
  <c r="L47" i="8"/>
  <c r="L44" i="8"/>
  <c r="N37" i="8"/>
  <c r="K9" i="8"/>
  <c r="K22" i="8"/>
  <c r="N11" i="8"/>
  <c r="N9" i="8"/>
  <c r="M9" i="8"/>
  <c r="N42" i="8"/>
  <c r="N22" i="8"/>
  <c r="N38" i="8"/>
  <c r="K18" i="8"/>
  <c r="L6" i="8"/>
  <c r="L48" i="8"/>
  <c r="N41" i="8"/>
  <c r="N39" i="8"/>
  <c r="M48" i="8"/>
  <c r="L27" i="8"/>
  <c r="K25" i="8"/>
  <c r="K30" i="8"/>
  <c r="K4" i="8"/>
  <c r="L50" i="8"/>
  <c r="L23" i="8"/>
  <c r="L14" i="8"/>
  <c r="N12" i="8"/>
  <c r="N47" i="8"/>
  <c r="N8" i="8"/>
  <c r="N44" i="8"/>
  <c r="M8" i="8"/>
  <c r="M23" i="8"/>
  <c r="L18" i="8"/>
  <c r="K8" i="8"/>
  <c r="L32" i="8"/>
  <c r="L5" i="8"/>
  <c r="M49" i="8"/>
  <c r="M6" i="8"/>
  <c r="K7" i="8"/>
  <c r="L33" i="8"/>
  <c r="L17" i="8"/>
  <c r="L13" i="8"/>
  <c r="L35" i="8"/>
  <c r="N26" i="8"/>
  <c r="N2" i="8"/>
  <c r="N18" i="8"/>
  <c r="M5" i="8"/>
  <c r="K39" i="8"/>
  <c r="K20" i="8"/>
  <c r="L4" i="8"/>
  <c r="N49" i="8"/>
  <c r="K37" i="8"/>
  <c r="L29" i="8"/>
  <c r="N30" i="8"/>
  <c r="M30" i="8"/>
  <c r="M50" i="8"/>
  <c r="K21" i="8"/>
  <c r="K49" i="8"/>
  <c r="L31" i="8"/>
  <c r="K51" i="8"/>
  <c r="K10" i="8"/>
  <c r="K6" i="8"/>
  <c r="L28" i="8"/>
  <c r="L42" i="8"/>
  <c r="N51" i="8"/>
  <c r="N20" i="8"/>
  <c r="M47" i="8"/>
  <c r="M20" i="8"/>
  <c r="F13" i="8"/>
  <c r="K32" i="8"/>
  <c r="G49" i="8"/>
  <c r="L34" i="8"/>
  <c r="I44" i="8"/>
  <c r="N25" i="8"/>
  <c r="I30" i="8"/>
  <c r="G48" i="8"/>
  <c r="L19" i="8"/>
  <c r="I12" i="8"/>
  <c r="N48" i="8"/>
  <c r="H34" i="8"/>
  <c r="F12" i="8"/>
  <c r="K48" i="8"/>
  <c r="I29" i="8"/>
  <c r="N24" i="8"/>
  <c r="F41" i="8"/>
  <c r="K31" i="8"/>
  <c r="G50" i="8"/>
  <c r="L3" i="8"/>
  <c r="G20" i="8"/>
  <c r="L39" i="8"/>
  <c r="I14" i="8"/>
  <c r="N7" i="8"/>
  <c r="N4" i="8"/>
  <c r="D15" i="31"/>
  <c r="D19" i="31"/>
  <c r="G36" i="8"/>
  <c r="G35" i="8"/>
  <c r="I43" i="8"/>
  <c r="F51" i="8"/>
  <c r="G18" i="8"/>
  <c r="G32" i="8"/>
  <c r="H2" i="8"/>
  <c r="G17" i="8"/>
  <c r="F39" i="8"/>
  <c r="I11" i="8"/>
  <c r="F11" i="8"/>
  <c r="F27" i="8"/>
  <c r="H40" i="8"/>
  <c r="F23" i="8"/>
  <c r="I38" i="8"/>
  <c r="G40" i="8"/>
  <c r="I34" i="8"/>
  <c r="I20" i="8"/>
  <c r="I6" i="8"/>
  <c r="G19" i="8"/>
  <c r="G3" i="8"/>
  <c r="I27" i="8"/>
  <c r="F17" i="8"/>
  <c r="G16" i="8"/>
  <c r="F42" i="8"/>
  <c r="H29" i="8"/>
  <c r="F21" i="8"/>
  <c r="I2" i="8"/>
  <c r="I10" i="8"/>
  <c r="I23" i="8"/>
  <c r="H5" i="8"/>
  <c r="F47" i="8"/>
  <c r="G33" i="8"/>
  <c r="G5" i="8"/>
  <c r="G4" i="8"/>
  <c r="F46" i="8"/>
  <c r="F18" i="8"/>
  <c r="I35" i="8"/>
  <c r="I21" i="8"/>
  <c r="H3" i="8"/>
  <c r="G46" i="8"/>
  <c r="I47" i="8"/>
  <c r="I17" i="8"/>
  <c r="I40" i="8"/>
  <c r="F22" i="8"/>
  <c r="F32" i="8"/>
  <c r="H46" i="8"/>
  <c r="H23" i="8"/>
  <c r="F26" i="8"/>
  <c r="G44" i="8"/>
  <c r="I24" i="8"/>
  <c r="G13" i="8"/>
  <c r="G29" i="8"/>
  <c r="F5" i="8"/>
  <c r="G27" i="8"/>
  <c r="I15" i="8"/>
  <c r="H30" i="8"/>
  <c r="F7" i="8"/>
  <c r="G41" i="8"/>
  <c r="F40" i="8"/>
  <c r="F37" i="8"/>
  <c r="I26" i="8"/>
  <c r="H47" i="8"/>
  <c r="I51" i="8"/>
  <c r="I50" i="8"/>
  <c r="F3" i="8"/>
  <c r="F43" i="8"/>
  <c r="G7" i="8"/>
  <c r="G43" i="8"/>
  <c r="F33" i="8"/>
  <c r="G28" i="8"/>
  <c r="I36" i="8"/>
  <c r="F4" i="8"/>
  <c r="F31" i="8"/>
  <c r="G12" i="8"/>
  <c r="I48" i="8"/>
  <c r="G39" i="8"/>
  <c r="G25" i="8"/>
  <c r="G11" i="8"/>
  <c r="I19" i="8"/>
  <c r="I5" i="8"/>
  <c r="H19" i="8"/>
  <c r="F29" i="8"/>
  <c r="F15" i="8"/>
  <c r="G38" i="8"/>
  <c r="G24" i="8"/>
  <c r="G10" i="8"/>
  <c r="I18" i="8"/>
  <c r="I4" i="8"/>
  <c r="F28" i="8"/>
  <c r="F14" i="8"/>
  <c r="G37" i="8"/>
  <c r="I31" i="8"/>
  <c r="I3" i="8"/>
  <c r="H35" i="8"/>
  <c r="G21" i="8"/>
  <c r="G8" i="8"/>
  <c r="I33" i="8"/>
  <c r="F38" i="8"/>
  <c r="G22" i="8"/>
  <c r="F24" i="8"/>
  <c r="F10" i="8"/>
  <c r="G47" i="8"/>
  <c r="I22" i="8"/>
  <c r="F36" i="8"/>
  <c r="H6" i="8"/>
  <c r="F25" i="8"/>
  <c r="F50" i="8"/>
  <c r="H49" i="8"/>
  <c r="I41" i="8"/>
  <c r="G31" i="8"/>
  <c r="H8" i="8"/>
  <c r="G34" i="8"/>
  <c r="F2" i="8"/>
  <c r="F19" i="8"/>
  <c r="I42" i="8"/>
  <c r="G6" i="8"/>
  <c r="I49" i="8"/>
  <c r="H21" i="8"/>
  <c r="H44" i="8"/>
  <c r="H4" i="8"/>
  <c r="H22" i="8"/>
  <c r="H17" i="8"/>
  <c r="L41" i="3"/>
  <c r="M31" i="8" s="1"/>
  <c r="L27" i="3"/>
  <c r="M27" i="8" s="1"/>
  <c r="L13" i="3"/>
  <c r="M13" i="8" s="1"/>
  <c r="L11" i="3"/>
  <c r="L10" i="3"/>
  <c r="M10" i="8" s="1"/>
  <c r="L24" i="3"/>
  <c r="M25" i="8" s="1"/>
  <c r="H16" i="8"/>
  <c r="I9" i="8"/>
  <c r="G26" i="8"/>
  <c r="G9" i="8"/>
  <c r="I37" i="8"/>
  <c r="F6" i="8"/>
  <c r="F48" i="8"/>
  <c r="H43" i="8"/>
  <c r="H51" i="8"/>
  <c r="G51" i="8"/>
  <c r="F8" i="8"/>
  <c r="F49" i="8"/>
  <c r="I32" i="8"/>
  <c r="F20" i="8"/>
  <c r="F34" i="8"/>
  <c r="I8" i="8"/>
  <c r="H50" i="8"/>
  <c r="H7" i="8"/>
  <c r="I7" i="8"/>
  <c r="I46" i="8"/>
  <c r="F35" i="8"/>
  <c r="G23" i="8"/>
  <c r="I16" i="8"/>
  <c r="I28" i="8"/>
  <c r="I39" i="8"/>
  <c r="I13" i="8"/>
  <c r="I25" i="8"/>
  <c r="G15" i="8"/>
  <c r="G30" i="8"/>
  <c r="G14" i="8"/>
  <c r="G42" i="8"/>
  <c r="G2" i="8"/>
  <c r="F44" i="8"/>
  <c r="F30" i="8"/>
  <c r="F16" i="8"/>
  <c r="F9" i="8"/>
  <c r="Z50" i="18" l="1"/>
  <c r="AH14" i="18"/>
  <c r="AL18" i="18"/>
  <c r="AH39" i="18"/>
  <c r="AT18" i="18"/>
  <c r="AL50" i="18"/>
  <c r="AP7" i="18"/>
  <c r="AT11" i="18"/>
  <c r="Z29" i="18"/>
  <c r="Z43" i="18"/>
  <c r="AH28" i="18"/>
  <c r="M15" i="8"/>
  <c r="M11" i="8"/>
  <c r="K45" i="8"/>
  <c r="F45" i="8"/>
  <c r="L45" i="8"/>
  <c r="G45" i="8"/>
  <c r="M24" i="8"/>
  <c r="M41" i="8"/>
  <c r="H12" i="8"/>
  <c r="N45" i="8"/>
  <c r="M28" i="8"/>
  <c r="I45" i="8"/>
  <c r="M12" i="8"/>
  <c r="H28" i="8"/>
  <c r="M42" i="8"/>
  <c r="H37" i="8"/>
  <c r="M14" i="8"/>
  <c r="H31" i="8"/>
  <c r="M32" i="8"/>
  <c r="H9" i="8"/>
  <c r="M36" i="8"/>
  <c r="H27" i="8"/>
  <c r="M37" i="8"/>
  <c r="M38" i="8"/>
  <c r="H38" i="8"/>
  <c r="H32" i="8"/>
  <c r="H42" i="8"/>
  <c r="H45" i="8"/>
  <c r="H36" i="8"/>
  <c r="H14" i="8"/>
  <c r="H48" i="8"/>
  <c r="H33" i="8"/>
  <c r="H15" i="8"/>
  <c r="H18" i="8"/>
  <c r="H39" i="8"/>
  <c r="H25" i="8"/>
  <c r="H20" i="8"/>
  <c r="H26" i="8"/>
  <c r="H41" i="8"/>
  <c r="H10" i="8"/>
  <c r="H11" i="8"/>
  <c r="H13" i="8"/>
  <c r="H24" i="8"/>
  <c r="P14" i="24"/>
  <c r="P17" i="24"/>
  <c r="P21" i="24"/>
  <c r="P31" i="24"/>
  <c r="P35" i="24"/>
  <c r="P38" i="24"/>
  <c r="P49" i="24"/>
  <c r="P52" i="24"/>
  <c r="S2" i="24"/>
  <c r="S4" i="24" s="1"/>
  <c r="V7" i="24"/>
  <c r="N22" i="24"/>
  <c r="N51" i="24"/>
  <c r="N52" i="24"/>
  <c r="L4" i="24"/>
  <c r="L5" i="24"/>
  <c r="L6" i="24"/>
  <c r="L7" i="24"/>
  <c r="L8" i="24"/>
  <c r="L9" i="24"/>
  <c r="L10" i="24"/>
  <c r="L11" i="24"/>
  <c r="L12" i="24"/>
  <c r="L13" i="24"/>
  <c r="L14" i="24"/>
  <c r="L15" i="24"/>
  <c r="L16" i="24"/>
  <c r="L17" i="24"/>
  <c r="L18" i="24"/>
  <c r="L19" i="24"/>
  <c r="L20" i="24"/>
  <c r="L21" i="24"/>
  <c r="L22" i="24"/>
  <c r="L23" i="24"/>
  <c r="L24" i="24"/>
  <c r="L25" i="24"/>
  <c r="L26" i="24"/>
  <c r="L27" i="24"/>
  <c r="L28" i="24"/>
  <c r="L29" i="24"/>
  <c r="L30" i="24"/>
  <c r="L31" i="24"/>
  <c r="L32" i="24"/>
  <c r="L33" i="24"/>
  <c r="L34" i="24"/>
  <c r="L35" i="24"/>
  <c r="L36" i="24"/>
  <c r="L37" i="24"/>
  <c r="L38" i="24"/>
  <c r="L39" i="24"/>
  <c r="L40" i="24"/>
  <c r="L41" i="24"/>
  <c r="L42" i="24"/>
  <c r="L43" i="24"/>
  <c r="L44" i="24"/>
  <c r="L45" i="24"/>
  <c r="L46" i="24"/>
  <c r="L47" i="24"/>
  <c r="L48" i="24"/>
  <c r="L49" i="24"/>
  <c r="L50" i="24"/>
  <c r="L51" i="24"/>
  <c r="L52" i="24"/>
  <c r="L3" i="24"/>
  <c r="N12" i="24"/>
  <c r="E4" i="24"/>
  <c r="AV4" i="18" s="1"/>
  <c r="G4" i="24"/>
  <c r="AW4" i="18" s="1"/>
  <c r="I4" i="24"/>
  <c r="J4" i="24"/>
  <c r="E5" i="24"/>
  <c r="AV5" i="18" s="1"/>
  <c r="G5" i="24"/>
  <c r="AW5" i="18" s="1"/>
  <c r="I5" i="24"/>
  <c r="AT5" i="18" s="1"/>
  <c r="J5" i="24"/>
  <c r="E6" i="24"/>
  <c r="AV6" i="18" s="1"/>
  <c r="G6" i="24"/>
  <c r="AW6" i="18" s="1"/>
  <c r="I6" i="24"/>
  <c r="AL6" i="18" s="1"/>
  <c r="J6" i="24"/>
  <c r="E7" i="24"/>
  <c r="AV7" i="18" s="1"/>
  <c r="G7" i="24"/>
  <c r="AW7" i="18" s="1"/>
  <c r="I7" i="24"/>
  <c r="R7" i="18" s="1"/>
  <c r="J7" i="24"/>
  <c r="E8" i="24"/>
  <c r="AV8" i="18" s="1"/>
  <c r="G8" i="24"/>
  <c r="AW8" i="18" s="1"/>
  <c r="I8" i="24"/>
  <c r="R8" i="18" s="1"/>
  <c r="J8" i="24"/>
  <c r="S8" i="18" s="1"/>
  <c r="E9" i="24"/>
  <c r="AV9" i="18" s="1"/>
  <c r="G9" i="24"/>
  <c r="AW9" i="18" s="1"/>
  <c r="I9" i="24"/>
  <c r="J9" i="24"/>
  <c r="E10" i="24"/>
  <c r="AV10" i="18" s="1"/>
  <c r="G10" i="24"/>
  <c r="AW10" i="18" s="1"/>
  <c r="I10" i="24"/>
  <c r="J10" i="24"/>
  <c r="E11" i="24"/>
  <c r="AV11" i="18" s="1"/>
  <c r="G11" i="24"/>
  <c r="AW11" i="18" s="1"/>
  <c r="I11" i="24"/>
  <c r="J11" i="24"/>
  <c r="E12" i="24"/>
  <c r="AV12" i="18" s="1"/>
  <c r="G12" i="24"/>
  <c r="AW12" i="18" s="1"/>
  <c r="I12" i="24"/>
  <c r="AH12" i="18" s="1"/>
  <c r="J12" i="24"/>
  <c r="E13" i="24"/>
  <c r="AV13" i="18" s="1"/>
  <c r="G13" i="24"/>
  <c r="AW13" i="18" s="1"/>
  <c r="I13" i="24"/>
  <c r="N13" i="18" s="1"/>
  <c r="J13" i="24"/>
  <c r="E14" i="24"/>
  <c r="AV14" i="18" s="1"/>
  <c r="G14" i="24"/>
  <c r="AW14" i="18" s="1"/>
  <c r="I14" i="24"/>
  <c r="J14" i="24"/>
  <c r="E15" i="24"/>
  <c r="AV15" i="18" s="1"/>
  <c r="G15" i="24"/>
  <c r="AW15" i="18" s="1"/>
  <c r="I15" i="24"/>
  <c r="AL15" i="18" s="1"/>
  <c r="J15" i="24"/>
  <c r="E16" i="24"/>
  <c r="AV16" i="18" s="1"/>
  <c r="G16" i="24"/>
  <c r="AW16" i="18" s="1"/>
  <c r="I16" i="24"/>
  <c r="J16" i="24"/>
  <c r="E17" i="24"/>
  <c r="AV17" i="18" s="1"/>
  <c r="G17" i="24"/>
  <c r="AW17" i="18" s="1"/>
  <c r="I17" i="24"/>
  <c r="N17" i="18" s="1"/>
  <c r="J17" i="24"/>
  <c r="E18" i="24"/>
  <c r="AV18" i="18" s="1"/>
  <c r="G18" i="24"/>
  <c r="AW18" i="18" s="1"/>
  <c r="I18" i="24"/>
  <c r="AP18" i="18" s="1"/>
  <c r="J18" i="24"/>
  <c r="E19" i="24"/>
  <c r="AV19" i="18" s="1"/>
  <c r="G19" i="24"/>
  <c r="AW19" i="18" s="1"/>
  <c r="I19" i="24"/>
  <c r="N19" i="18" s="1"/>
  <c r="J19" i="24"/>
  <c r="E20" i="24"/>
  <c r="AV20" i="18" s="1"/>
  <c r="G20" i="24"/>
  <c r="AW20" i="18" s="1"/>
  <c r="I20" i="24"/>
  <c r="J20" i="24"/>
  <c r="E21" i="24"/>
  <c r="AV21" i="18" s="1"/>
  <c r="G21" i="24"/>
  <c r="AW21" i="18" s="1"/>
  <c r="I21" i="24"/>
  <c r="J21" i="24"/>
  <c r="E22" i="24"/>
  <c r="AV22" i="18" s="1"/>
  <c r="G22" i="24"/>
  <c r="AW22" i="18" s="1"/>
  <c r="I22" i="24"/>
  <c r="N22" i="18" s="1"/>
  <c r="J22" i="24"/>
  <c r="E23" i="24"/>
  <c r="AV23" i="18" s="1"/>
  <c r="G23" i="24"/>
  <c r="AW23" i="18" s="1"/>
  <c r="I23" i="24"/>
  <c r="J23" i="24"/>
  <c r="E24" i="24"/>
  <c r="AV24" i="18" s="1"/>
  <c r="G24" i="24"/>
  <c r="AW24" i="18" s="1"/>
  <c r="I24" i="24"/>
  <c r="V24" i="18" s="1"/>
  <c r="J24" i="24"/>
  <c r="E25" i="24"/>
  <c r="AV25" i="18" s="1"/>
  <c r="G25" i="24"/>
  <c r="AW25" i="18" s="1"/>
  <c r="I25" i="24"/>
  <c r="AH25" i="18" s="1"/>
  <c r="J25" i="24"/>
  <c r="E26" i="24"/>
  <c r="AV26" i="18" s="1"/>
  <c r="G26" i="24"/>
  <c r="AW26" i="18" s="1"/>
  <c r="I26" i="24"/>
  <c r="J26" i="24"/>
  <c r="E27" i="24"/>
  <c r="AV27" i="18" s="1"/>
  <c r="G27" i="24"/>
  <c r="AW27" i="18" s="1"/>
  <c r="I27" i="24"/>
  <c r="AP27" i="18" s="1"/>
  <c r="J27" i="24"/>
  <c r="E28" i="24"/>
  <c r="AV28" i="18" s="1"/>
  <c r="G28" i="24"/>
  <c r="AW28" i="18" s="1"/>
  <c r="I28" i="24"/>
  <c r="J28" i="24"/>
  <c r="E29" i="24"/>
  <c r="AV29" i="18" s="1"/>
  <c r="G29" i="24"/>
  <c r="AW29" i="18" s="1"/>
  <c r="I29" i="24"/>
  <c r="AL29" i="18" s="1"/>
  <c r="J29" i="24"/>
  <c r="E30" i="24"/>
  <c r="AV30" i="18" s="1"/>
  <c r="G30" i="24"/>
  <c r="AW30" i="18" s="1"/>
  <c r="I30" i="24"/>
  <c r="J30" i="24"/>
  <c r="E31" i="24"/>
  <c r="AV31" i="18" s="1"/>
  <c r="G31" i="24"/>
  <c r="AW31" i="18" s="1"/>
  <c r="I31" i="24"/>
  <c r="AT31" i="18" s="1"/>
  <c r="J31" i="24"/>
  <c r="E32" i="24"/>
  <c r="AV32" i="18" s="1"/>
  <c r="G32" i="24"/>
  <c r="AW32" i="18" s="1"/>
  <c r="I32" i="24"/>
  <c r="AL32" i="18" s="1"/>
  <c r="J32" i="24"/>
  <c r="E33" i="24"/>
  <c r="AV33" i="18" s="1"/>
  <c r="G33" i="24"/>
  <c r="AW33" i="18" s="1"/>
  <c r="I33" i="24"/>
  <c r="AL33" i="18" s="1"/>
  <c r="J33" i="24"/>
  <c r="E34" i="24"/>
  <c r="AV34" i="18" s="1"/>
  <c r="G34" i="24"/>
  <c r="AW34" i="18" s="1"/>
  <c r="I34" i="24"/>
  <c r="J34" i="24"/>
  <c r="E35" i="24"/>
  <c r="AV35" i="18" s="1"/>
  <c r="G35" i="24"/>
  <c r="AW35" i="18" s="1"/>
  <c r="I35" i="24"/>
  <c r="J35" i="24"/>
  <c r="E36" i="24"/>
  <c r="AV36" i="18" s="1"/>
  <c r="G36" i="24"/>
  <c r="AW36" i="18" s="1"/>
  <c r="I36" i="24"/>
  <c r="AX36" i="18" s="1"/>
  <c r="J36" i="24"/>
  <c r="E37" i="24"/>
  <c r="AV37" i="18" s="1"/>
  <c r="G37" i="24"/>
  <c r="AW37" i="18" s="1"/>
  <c r="I37" i="24"/>
  <c r="J37" i="24"/>
  <c r="E38" i="24"/>
  <c r="AV38" i="18" s="1"/>
  <c r="G38" i="24"/>
  <c r="AW38" i="18" s="1"/>
  <c r="I38" i="24"/>
  <c r="J38" i="24"/>
  <c r="E39" i="24"/>
  <c r="AV39" i="18" s="1"/>
  <c r="G39" i="24"/>
  <c r="AW39" i="18" s="1"/>
  <c r="I39" i="24"/>
  <c r="J39" i="24"/>
  <c r="E40" i="24"/>
  <c r="AV40" i="18" s="1"/>
  <c r="G40" i="24"/>
  <c r="AW40" i="18" s="1"/>
  <c r="I40" i="24"/>
  <c r="AP40" i="18" s="1"/>
  <c r="J40" i="24"/>
  <c r="E41" i="24"/>
  <c r="AV41" i="18" s="1"/>
  <c r="G41" i="24"/>
  <c r="AW41" i="18" s="1"/>
  <c r="I41" i="24"/>
  <c r="N41" i="18" s="1"/>
  <c r="J41" i="24"/>
  <c r="E42" i="24"/>
  <c r="AV42" i="18" s="1"/>
  <c r="G42" i="24"/>
  <c r="AW42" i="18" s="1"/>
  <c r="I42" i="24"/>
  <c r="AT42" i="18" s="1"/>
  <c r="J42" i="24"/>
  <c r="E43" i="24"/>
  <c r="AV43" i="18" s="1"/>
  <c r="G43" i="24"/>
  <c r="AW43" i="18" s="1"/>
  <c r="I43" i="24"/>
  <c r="AT43" i="18" s="1"/>
  <c r="J43" i="24"/>
  <c r="E44" i="24"/>
  <c r="AV44" i="18" s="1"/>
  <c r="G44" i="24"/>
  <c r="AW44" i="18" s="1"/>
  <c r="I44" i="24"/>
  <c r="J44" i="24"/>
  <c r="E45" i="24"/>
  <c r="AV45" i="18" s="1"/>
  <c r="G45" i="24"/>
  <c r="AW45" i="18" s="1"/>
  <c r="I45" i="24"/>
  <c r="N45" i="18" s="1"/>
  <c r="J45" i="24"/>
  <c r="E46" i="24"/>
  <c r="AV46" i="18" s="1"/>
  <c r="G46" i="24"/>
  <c r="AW46" i="18" s="1"/>
  <c r="I46" i="24"/>
  <c r="AX46" i="18" s="1"/>
  <c r="J46" i="24"/>
  <c r="E47" i="24"/>
  <c r="AV47" i="18" s="1"/>
  <c r="G47" i="24"/>
  <c r="AW47" i="18" s="1"/>
  <c r="I47" i="24"/>
  <c r="J47" i="24"/>
  <c r="E48" i="24"/>
  <c r="AV48" i="18" s="1"/>
  <c r="G48" i="24"/>
  <c r="AW48" i="18" s="1"/>
  <c r="I48" i="24"/>
  <c r="AP48" i="18" s="1"/>
  <c r="J48" i="24"/>
  <c r="E49" i="24"/>
  <c r="AV49" i="18" s="1"/>
  <c r="G49" i="24"/>
  <c r="AW49" i="18" s="1"/>
  <c r="I49" i="24"/>
  <c r="J49" i="24"/>
  <c r="E50" i="24"/>
  <c r="AV50" i="18" s="1"/>
  <c r="G50" i="24"/>
  <c r="AW50" i="18" s="1"/>
  <c r="I50" i="24"/>
  <c r="AT50" i="18" s="1"/>
  <c r="J50" i="24"/>
  <c r="E51" i="24"/>
  <c r="AV51" i="18" s="1"/>
  <c r="G51" i="24"/>
  <c r="AW51" i="18" s="1"/>
  <c r="I51" i="24"/>
  <c r="J51" i="24"/>
  <c r="E52" i="24"/>
  <c r="AV52" i="18" s="1"/>
  <c r="G52" i="24"/>
  <c r="AW52" i="18" s="1"/>
  <c r="I52" i="24"/>
  <c r="R52" i="18" s="1"/>
  <c r="J52" i="24"/>
  <c r="J3" i="24"/>
  <c r="I3" i="24"/>
  <c r="N3" i="18" s="1"/>
  <c r="G3" i="24"/>
  <c r="AW3" i="18" s="1"/>
  <c r="E3" i="24"/>
  <c r="AV3" i="18" s="1"/>
  <c r="Z5" i="35"/>
  <c r="Z6" i="35"/>
  <c r="Z7" i="35"/>
  <c r="Z8" i="35"/>
  <c r="Z9" i="35"/>
  <c r="Z10" i="35"/>
  <c r="Z11" i="35"/>
  <c r="Z12" i="35"/>
  <c r="Z13" i="35"/>
  <c r="Z14" i="35"/>
  <c r="Z15" i="35"/>
  <c r="Z16" i="35"/>
  <c r="Z17" i="35"/>
  <c r="Z18" i="35"/>
  <c r="Z19" i="35"/>
  <c r="Z20" i="35"/>
  <c r="Z21" i="35"/>
  <c r="Z22" i="35"/>
  <c r="Z23" i="35"/>
  <c r="Z24" i="35"/>
  <c r="Z25" i="35"/>
  <c r="Z26" i="35"/>
  <c r="Z27" i="35"/>
  <c r="Z28" i="35"/>
  <c r="Z29" i="35"/>
  <c r="Z30" i="35"/>
  <c r="Z31" i="35"/>
  <c r="Z32" i="35"/>
  <c r="Z33" i="35"/>
  <c r="Z34" i="35"/>
  <c r="Z35" i="35"/>
  <c r="Z36" i="35"/>
  <c r="Z37" i="35"/>
  <c r="Z38" i="35"/>
  <c r="Z39" i="35"/>
  <c r="Z40" i="35"/>
  <c r="Z41" i="35"/>
  <c r="Z42" i="35"/>
  <c r="Z43" i="35"/>
  <c r="Z44" i="35"/>
  <c r="Z45" i="35"/>
  <c r="Z46" i="35"/>
  <c r="Z47" i="35"/>
  <c r="Z48" i="35"/>
  <c r="Z49" i="35"/>
  <c r="Z50" i="35"/>
  <c r="Z51" i="35"/>
  <c r="Z52" i="35"/>
  <c r="Z53" i="35"/>
  <c r="Z4" i="35"/>
  <c r="F155" i="31" s="1"/>
  <c r="S5" i="35"/>
  <c r="T5" i="35"/>
  <c r="S6" i="35"/>
  <c r="T6" i="35"/>
  <c r="S7" i="35"/>
  <c r="T7" i="35"/>
  <c r="S8" i="35"/>
  <c r="T8" i="35"/>
  <c r="S9" i="35"/>
  <c r="T9" i="35"/>
  <c r="S10" i="35"/>
  <c r="T10" i="35"/>
  <c r="S11" i="35"/>
  <c r="T11" i="35"/>
  <c r="S12" i="35"/>
  <c r="T12" i="35"/>
  <c r="S13" i="35"/>
  <c r="T13" i="35"/>
  <c r="S14" i="35"/>
  <c r="T14" i="35"/>
  <c r="S15" i="35"/>
  <c r="T15" i="35"/>
  <c r="S16" i="35"/>
  <c r="T16" i="35"/>
  <c r="S17" i="35"/>
  <c r="T17" i="35"/>
  <c r="S18" i="35"/>
  <c r="T18" i="35"/>
  <c r="S19" i="35"/>
  <c r="T19" i="35"/>
  <c r="S20" i="35"/>
  <c r="T20" i="35"/>
  <c r="S21" i="35"/>
  <c r="T21" i="35"/>
  <c r="S22" i="35"/>
  <c r="T22" i="35"/>
  <c r="S23" i="35"/>
  <c r="T23" i="35"/>
  <c r="S24" i="35"/>
  <c r="T24" i="35"/>
  <c r="S25" i="35"/>
  <c r="T25" i="35"/>
  <c r="S26" i="35"/>
  <c r="T26" i="35"/>
  <c r="S27" i="35"/>
  <c r="T27" i="35"/>
  <c r="S28" i="35"/>
  <c r="T28" i="35"/>
  <c r="S29" i="35"/>
  <c r="T29" i="35"/>
  <c r="S30" i="35"/>
  <c r="T30" i="35"/>
  <c r="S31" i="35"/>
  <c r="T31" i="35"/>
  <c r="S32" i="35"/>
  <c r="T32" i="35"/>
  <c r="S33" i="35"/>
  <c r="T33" i="35"/>
  <c r="S34" i="35"/>
  <c r="T34" i="35"/>
  <c r="S35" i="35"/>
  <c r="T35" i="35"/>
  <c r="S36" i="35"/>
  <c r="T36" i="35"/>
  <c r="S37" i="35"/>
  <c r="T37" i="35"/>
  <c r="S38" i="35"/>
  <c r="T38" i="35"/>
  <c r="S39" i="35"/>
  <c r="T39" i="35"/>
  <c r="S40" i="35"/>
  <c r="T40" i="35"/>
  <c r="S41" i="35"/>
  <c r="T41" i="35"/>
  <c r="S42" i="35"/>
  <c r="T42" i="35"/>
  <c r="S43" i="35"/>
  <c r="T43" i="35"/>
  <c r="S44" i="35"/>
  <c r="T44" i="35"/>
  <c r="S45" i="35"/>
  <c r="T45" i="35"/>
  <c r="S46" i="35"/>
  <c r="T46" i="35"/>
  <c r="S47" i="35"/>
  <c r="T47" i="35"/>
  <c r="S48" i="35"/>
  <c r="T48" i="35"/>
  <c r="S49" i="35"/>
  <c r="T49" i="35"/>
  <c r="S50" i="35"/>
  <c r="T50" i="35"/>
  <c r="S51" i="35"/>
  <c r="T51" i="35"/>
  <c r="S52" i="35"/>
  <c r="T52" i="35"/>
  <c r="S53" i="35"/>
  <c r="T53" i="35"/>
  <c r="T4" i="35"/>
  <c r="F143" i="31" s="1"/>
  <c r="S4" i="35"/>
  <c r="F139" i="31" s="1"/>
  <c r="W5" i="27"/>
  <c r="X5" i="27"/>
  <c r="X6" i="27"/>
  <c r="X7" i="27"/>
  <c r="S8" i="27"/>
  <c r="S10" i="27"/>
  <c r="T10" i="27"/>
  <c r="W12" i="27"/>
  <c r="X12" i="27"/>
  <c r="X13" i="27"/>
  <c r="W14" i="27"/>
  <c r="X14" i="27"/>
  <c r="S15" i="27"/>
  <c r="S17" i="27"/>
  <c r="T17" i="27"/>
  <c r="W19" i="27"/>
  <c r="X19" i="27"/>
  <c r="X20" i="27"/>
  <c r="X21" i="27"/>
  <c r="S22" i="27"/>
  <c r="S24" i="27"/>
  <c r="T24" i="27"/>
  <c r="W26" i="27"/>
  <c r="X26" i="27"/>
  <c r="X27" i="27"/>
  <c r="X28" i="27"/>
  <c r="S29" i="27"/>
  <c r="S31" i="27"/>
  <c r="T31" i="27"/>
  <c r="U31" i="27"/>
  <c r="V33" i="27"/>
  <c r="W33" i="27"/>
  <c r="X33" i="27"/>
  <c r="X34" i="27"/>
  <c r="X35" i="27"/>
  <c r="S36" i="27"/>
  <c r="S38" i="27"/>
  <c r="T38" i="27"/>
  <c r="S40" i="27"/>
  <c r="V40" i="27"/>
  <c r="W40" i="27"/>
  <c r="X40" i="27"/>
  <c r="X41" i="27"/>
  <c r="W42" i="27"/>
  <c r="X42" i="27"/>
  <c r="S43" i="27"/>
  <c r="S45" i="27"/>
  <c r="T45" i="27"/>
  <c r="S47" i="27"/>
  <c r="W47" i="27"/>
  <c r="X47" i="27"/>
  <c r="X48" i="27"/>
  <c r="X49" i="27"/>
  <c r="S50" i="27"/>
  <c r="S52" i="27"/>
  <c r="T52" i="27"/>
  <c r="S6" i="27"/>
  <c r="X10" i="27"/>
  <c r="W10" i="27"/>
  <c r="V11" i="27"/>
  <c r="U8" i="27"/>
  <c r="T6" i="27"/>
  <c r="N4" i="27"/>
  <c r="O4" i="27"/>
  <c r="P4" i="27"/>
  <c r="Q4" i="27"/>
  <c r="R4" i="27"/>
  <c r="N5" i="27"/>
  <c r="O5" i="27"/>
  <c r="P5" i="27"/>
  <c r="Q5" i="27"/>
  <c r="R5" i="27"/>
  <c r="N6" i="27"/>
  <c r="O6" i="27"/>
  <c r="P6" i="27"/>
  <c r="Q6" i="27"/>
  <c r="R6" i="27"/>
  <c r="N7" i="27"/>
  <c r="O7" i="27"/>
  <c r="P7" i="27"/>
  <c r="Q7" i="27"/>
  <c r="R7" i="27"/>
  <c r="N8" i="27"/>
  <c r="O8" i="27"/>
  <c r="P8" i="27"/>
  <c r="Q8" i="27"/>
  <c r="R8" i="27"/>
  <c r="N9" i="27"/>
  <c r="O9" i="27"/>
  <c r="P9" i="27"/>
  <c r="Q9" i="27"/>
  <c r="R9" i="27"/>
  <c r="N10" i="27"/>
  <c r="O10" i="27"/>
  <c r="P10" i="27"/>
  <c r="Q10" i="27"/>
  <c r="R10" i="27"/>
  <c r="N11" i="27"/>
  <c r="O11" i="27"/>
  <c r="P11" i="27"/>
  <c r="Q11" i="27"/>
  <c r="R11" i="27"/>
  <c r="N12" i="27"/>
  <c r="O12" i="27"/>
  <c r="P12" i="27"/>
  <c r="Q12" i="27"/>
  <c r="R12" i="27"/>
  <c r="N13" i="27"/>
  <c r="O13" i="27"/>
  <c r="P13" i="27"/>
  <c r="Q13" i="27"/>
  <c r="R13" i="27"/>
  <c r="N14" i="27"/>
  <c r="O14" i="27"/>
  <c r="P14" i="27"/>
  <c r="Q14" i="27"/>
  <c r="R14" i="27"/>
  <c r="N15" i="27"/>
  <c r="O15" i="27"/>
  <c r="P15" i="27"/>
  <c r="Q15" i="27"/>
  <c r="R15" i="27"/>
  <c r="N16" i="27"/>
  <c r="O16" i="27"/>
  <c r="P16" i="27"/>
  <c r="Q16" i="27"/>
  <c r="R16" i="27"/>
  <c r="N17" i="27"/>
  <c r="O17" i="27"/>
  <c r="P17" i="27"/>
  <c r="Q17" i="27"/>
  <c r="R17" i="27"/>
  <c r="N18" i="27"/>
  <c r="O18" i="27"/>
  <c r="P18" i="27"/>
  <c r="Q18" i="27"/>
  <c r="R18" i="27"/>
  <c r="N19" i="27"/>
  <c r="O19" i="27"/>
  <c r="P19" i="27"/>
  <c r="Q19" i="27"/>
  <c r="R19" i="27"/>
  <c r="N20" i="27"/>
  <c r="O20" i="27"/>
  <c r="P20" i="27"/>
  <c r="Q20" i="27"/>
  <c r="R20" i="27"/>
  <c r="N21" i="27"/>
  <c r="O21" i="27"/>
  <c r="P21" i="27"/>
  <c r="Q21" i="27"/>
  <c r="R21" i="27"/>
  <c r="N22" i="27"/>
  <c r="O22" i="27"/>
  <c r="P22" i="27"/>
  <c r="Q22" i="27"/>
  <c r="R22" i="27"/>
  <c r="N23" i="27"/>
  <c r="O23" i="27"/>
  <c r="P23" i="27"/>
  <c r="Q23" i="27"/>
  <c r="R23" i="27"/>
  <c r="N24" i="27"/>
  <c r="O24" i="27"/>
  <c r="P24" i="27"/>
  <c r="Q24" i="27"/>
  <c r="R24" i="27"/>
  <c r="N25" i="27"/>
  <c r="O25" i="27"/>
  <c r="P25" i="27"/>
  <c r="Q25" i="27"/>
  <c r="R25" i="27"/>
  <c r="N26" i="27"/>
  <c r="O26" i="27"/>
  <c r="P26" i="27"/>
  <c r="Q26" i="27"/>
  <c r="R26" i="27"/>
  <c r="N27" i="27"/>
  <c r="O27" i="27"/>
  <c r="P27" i="27"/>
  <c r="Q27" i="27"/>
  <c r="R27" i="27"/>
  <c r="N28" i="27"/>
  <c r="O28" i="27"/>
  <c r="P28" i="27"/>
  <c r="Q28" i="27"/>
  <c r="R28" i="27"/>
  <c r="N29" i="27"/>
  <c r="O29" i="27"/>
  <c r="P29" i="27"/>
  <c r="Q29" i="27"/>
  <c r="R29" i="27"/>
  <c r="N30" i="27"/>
  <c r="O30" i="27"/>
  <c r="P30" i="27"/>
  <c r="Q30" i="27"/>
  <c r="R30" i="27"/>
  <c r="N31" i="27"/>
  <c r="O31" i="27"/>
  <c r="P31" i="27"/>
  <c r="Q31" i="27"/>
  <c r="R31" i="27"/>
  <c r="N32" i="27"/>
  <c r="O32" i="27"/>
  <c r="P32" i="27"/>
  <c r="Q32" i="27"/>
  <c r="R32" i="27"/>
  <c r="N33" i="27"/>
  <c r="O33" i="27"/>
  <c r="P33" i="27"/>
  <c r="Q33" i="27"/>
  <c r="R33" i="27"/>
  <c r="N34" i="27"/>
  <c r="O34" i="27"/>
  <c r="P34" i="27"/>
  <c r="Q34" i="27"/>
  <c r="R34" i="27"/>
  <c r="N35" i="27"/>
  <c r="O35" i="27"/>
  <c r="P35" i="27"/>
  <c r="Q35" i="27"/>
  <c r="R35" i="27"/>
  <c r="N36" i="27"/>
  <c r="O36" i="27"/>
  <c r="P36" i="27"/>
  <c r="Q36" i="27"/>
  <c r="R36" i="27"/>
  <c r="N37" i="27"/>
  <c r="O37" i="27"/>
  <c r="P37" i="27"/>
  <c r="Q37" i="27"/>
  <c r="R37" i="27"/>
  <c r="N38" i="27"/>
  <c r="O38" i="27"/>
  <c r="P38" i="27"/>
  <c r="Q38" i="27"/>
  <c r="R38" i="27"/>
  <c r="N39" i="27"/>
  <c r="O39" i="27"/>
  <c r="P39" i="27"/>
  <c r="Q39" i="27"/>
  <c r="R39" i="27"/>
  <c r="N40" i="27"/>
  <c r="O40" i="27"/>
  <c r="P40" i="27"/>
  <c r="Q40" i="27"/>
  <c r="R40" i="27"/>
  <c r="N41" i="27"/>
  <c r="O41" i="27"/>
  <c r="P41" i="27"/>
  <c r="Q41" i="27"/>
  <c r="R41" i="27"/>
  <c r="N42" i="27"/>
  <c r="O42" i="27"/>
  <c r="P42" i="27"/>
  <c r="Q42" i="27"/>
  <c r="R42" i="27"/>
  <c r="N43" i="27"/>
  <c r="O43" i="27"/>
  <c r="P43" i="27"/>
  <c r="Q43" i="27"/>
  <c r="R43" i="27"/>
  <c r="N44" i="27"/>
  <c r="O44" i="27"/>
  <c r="P44" i="27"/>
  <c r="Q44" i="27"/>
  <c r="R44" i="27"/>
  <c r="N45" i="27"/>
  <c r="O45" i="27"/>
  <c r="P45" i="27"/>
  <c r="Q45" i="27"/>
  <c r="R45" i="27"/>
  <c r="N46" i="27"/>
  <c r="O46" i="27"/>
  <c r="P46" i="27"/>
  <c r="Q46" i="27"/>
  <c r="R46" i="27"/>
  <c r="N47" i="27"/>
  <c r="O47" i="27"/>
  <c r="P47" i="27"/>
  <c r="Q47" i="27"/>
  <c r="R47" i="27"/>
  <c r="N48" i="27"/>
  <c r="O48" i="27"/>
  <c r="P48" i="27"/>
  <c r="Q48" i="27"/>
  <c r="R48" i="27"/>
  <c r="N49" i="27"/>
  <c r="O49" i="27"/>
  <c r="P49" i="27"/>
  <c r="Q49" i="27"/>
  <c r="R49" i="27"/>
  <c r="N50" i="27"/>
  <c r="O50" i="27"/>
  <c r="P50" i="27"/>
  <c r="Q50" i="27"/>
  <c r="R50" i="27"/>
  <c r="N51" i="27"/>
  <c r="O51" i="27"/>
  <c r="P51" i="27"/>
  <c r="Q51" i="27"/>
  <c r="R51" i="27"/>
  <c r="N52" i="27"/>
  <c r="O52" i="27"/>
  <c r="P52" i="27"/>
  <c r="Q52" i="27"/>
  <c r="R52" i="27"/>
  <c r="O3" i="27"/>
  <c r="P3" i="27"/>
  <c r="Q3" i="27"/>
  <c r="R3" i="27"/>
  <c r="N3" i="27"/>
  <c r="M4" i="27"/>
  <c r="M5" i="27"/>
  <c r="M6" i="27"/>
  <c r="M7" i="27"/>
  <c r="M8" i="27"/>
  <c r="M9" i="27"/>
  <c r="M10" i="27"/>
  <c r="M11" i="27"/>
  <c r="M12" i="27"/>
  <c r="M13" i="27"/>
  <c r="M14" i="27"/>
  <c r="M15" i="27"/>
  <c r="M16" i="27"/>
  <c r="M17" i="27"/>
  <c r="M18" i="27"/>
  <c r="M19" i="27"/>
  <c r="M20" i="27"/>
  <c r="M21" i="27"/>
  <c r="M22" i="27"/>
  <c r="M23" i="27"/>
  <c r="M24" i="27"/>
  <c r="M25" i="27"/>
  <c r="M26" i="27"/>
  <c r="M27" i="27"/>
  <c r="M28" i="27"/>
  <c r="M29" i="27"/>
  <c r="M30" i="27"/>
  <c r="M31" i="27"/>
  <c r="M32" i="27"/>
  <c r="M33" i="27"/>
  <c r="M34" i="27"/>
  <c r="M35" i="27"/>
  <c r="M36" i="27"/>
  <c r="M37" i="27"/>
  <c r="M38" i="27"/>
  <c r="M39" i="27"/>
  <c r="M40" i="27"/>
  <c r="M41" i="27"/>
  <c r="M42" i="27"/>
  <c r="M43" i="27"/>
  <c r="M44" i="27"/>
  <c r="M45" i="27"/>
  <c r="M46" i="27"/>
  <c r="M47" i="27"/>
  <c r="M48" i="27"/>
  <c r="M49" i="27"/>
  <c r="M50" i="27"/>
  <c r="M51" i="27"/>
  <c r="M52" i="27"/>
  <c r="M3" i="27"/>
  <c r="K14" i="27"/>
  <c r="K15" i="27"/>
  <c r="K2" i="27"/>
  <c r="K4" i="27" s="1"/>
  <c r="J4" i="27"/>
  <c r="J5" i="27"/>
  <c r="J6" i="27"/>
  <c r="J7" i="27"/>
  <c r="J8" i="27"/>
  <c r="J9" i="27"/>
  <c r="J10" i="27"/>
  <c r="J11" i="27"/>
  <c r="J12" i="27"/>
  <c r="J13" i="27"/>
  <c r="J14" i="27"/>
  <c r="J15" i="27"/>
  <c r="J16" i="27"/>
  <c r="J17" i="27"/>
  <c r="J18" i="27"/>
  <c r="J19" i="27"/>
  <c r="J20" i="27"/>
  <c r="J21" i="27"/>
  <c r="J22" i="27"/>
  <c r="J23" i="27"/>
  <c r="J24" i="27"/>
  <c r="J25" i="27"/>
  <c r="J26" i="27"/>
  <c r="J27" i="27"/>
  <c r="J28" i="27"/>
  <c r="J29" i="27"/>
  <c r="J30" i="27"/>
  <c r="J31" i="27"/>
  <c r="J32" i="27"/>
  <c r="J33" i="27"/>
  <c r="J34" i="27"/>
  <c r="J35" i="27"/>
  <c r="J36" i="27"/>
  <c r="J37" i="27"/>
  <c r="J38" i="27"/>
  <c r="J39" i="27"/>
  <c r="J40" i="27"/>
  <c r="J41" i="27"/>
  <c r="J42" i="27"/>
  <c r="J43" i="27"/>
  <c r="J44" i="27"/>
  <c r="J45" i="27"/>
  <c r="J46" i="27"/>
  <c r="J47" i="27"/>
  <c r="J48" i="27"/>
  <c r="J49" i="27"/>
  <c r="J50" i="27"/>
  <c r="J51" i="27"/>
  <c r="J52" i="27"/>
  <c r="J3" i="27"/>
  <c r="I4" i="27"/>
  <c r="I5" i="27"/>
  <c r="I6" i="27"/>
  <c r="I7" i="27"/>
  <c r="I8" i="27"/>
  <c r="I9" i="27"/>
  <c r="I10" i="27"/>
  <c r="I11" i="27"/>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I45" i="27"/>
  <c r="I46" i="27"/>
  <c r="I47" i="27"/>
  <c r="I48" i="27"/>
  <c r="I49" i="27"/>
  <c r="I50" i="27"/>
  <c r="I51" i="27"/>
  <c r="I52" i="27"/>
  <c r="I3" i="27"/>
  <c r="H4" i="27"/>
  <c r="H5" i="27"/>
  <c r="H6" i="27"/>
  <c r="H7" i="27"/>
  <c r="H8" i="27"/>
  <c r="H9" i="27"/>
  <c r="H10" i="27"/>
  <c r="H11" i="27"/>
  <c r="H12" i="27"/>
  <c r="H13" i="27"/>
  <c r="H14" i="27"/>
  <c r="H15" i="27"/>
  <c r="H16" i="27"/>
  <c r="H17" i="27"/>
  <c r="H18" i="27"/>
  <c r="H19" i="27"/>
  <c r="H20" i="27"/>
  <c r="H21" i="27"/>
  <c r="H22" i="27"/>
  <c r="H23" i="27"/>
  <c r="H24" i="27"/>
  <c r="H25" i="27"/>
  <c r="H26" i="27"/>
  <c r="H27" i="27"/>
  <c r="H28" i="27"/>
  <c r="H29" i="27"/>
  <c r="H30" i="27"/>
  <c r="H31" i="27"/>
  <c r="H32" i="27"/>
  <c r="H33" i="27"/>
  <c r="H34" i="27"/>
  <c r="H35" i="27"/>
  <c r="H36" i="27"/>
  <c r="H37" i="27"/>
  <c r="H38" i="27"/>
  <c r="H39" i="27"/>
  <c r="H40" i="27"/>
  <c r="H41" i="27"/>
  <c r="H42" i="27"/>
  <c r="H43" i="27"/>
  <c r="H44" i="27"/>
  <c r="H45" i="27"/>
  <c r="H46" i="27"/>
  <c r="H47" i="27"/>
  <c r="H48" i="27"/>
  <c r="H49" i="27"/>
  <c r="H50" i="27"/>
  <c r="H51" i="27"/>
  <c r="H52" i="27"/>
  <c r="H3" i="27"/>
  <c r="G4" i="27"/>
  <c r="G5" i="27"/>
  <c r="G6" i="27"/>
  <c r="G7" i="27"/>
  <c r="G8" i="27"/>
  <c r="G9" i="27"/>
  <c r="G10" i="27"/>
  <c r="G11" i="27"/>
  <c r="G12" i="27"/>
  <c r="G13" i="27"/>
  <c r="G14" i="27"/>
  <c r="G15" i="27"/>
  <c r="G16" i="27"/>
  <c r="G17" i="27"/>
  <c r="G18" i="27"/>
  <c r="G19" i="27"/>
  <c r="G20" i="27"/>
  <c r="G21" i="27"/>
  <c r="G22" i="27"/>
  <c r="G23" i="27"/>
  <c r="G24" i="27"/>
  <c r="G25" i="27"/>
  <c r="G26" i="27"/>
  <c r="G27" i="27"/>
  <c r="G28" i="27"/>
  <c r="G29" i="27"/>
  <c r="G30" i="27"/>
  <c r="G31" i="27"/>
  <c r="G32" i="27"/>
  <c r="G33" i="27"/>
  <c r="G34" i="27"/>
  <c r="G35" i="27"/>
  <c r="G36" i="27"/>
  <c r="G37" i="27"/>
  <c r="G38" i="27"/>
  <c r="G39" i="27"/>
  <c r="G40" i="27"/>
  <c r="G41" i="27"/>
  <c r="G42" i="27"/>
  <c r="G43" i="27"/>
  <c r="G44" i="27"/>
  <c r="G45" i="27"/>
  <c r="G46" i="27"/>
  <c r="G47" i="27"/>
  <c r="G48" i="27"/>
  <c r="G49" i="27"/>
  <c r="G50" i="27"/>
  <c r="G51" i="27"/>
  <c r="G52" i="27"/>
  <c r="G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3" i="27"/>
  <c r="E4" i="27"/>
  <c r="E5" i="27"/>
  <c r="E6" i="27"/>
  <c r="E7" i="27"/>
  <c r="E8" i="27"/>
  <c r="E9" i="27"/>
  <c r="E10" i="27"/>
  <c r="E11" i="27"/>
  <c r="E12" i="27"/>
  <c r="E13" i="27"/>
  <c r="E14" i="27"/>
  <c r="E15" i="27"/>
  <c r="E16" i="27"/>
  <c r="E17" i="27"/>
  <c r="E18" i="27"/>
  <c r="E19" i="27"/>
  <c r="E20" i="27"/>
  <c r="E21" i="27"/>
  <c r="E22" i="27"/>
  <c r="E23" i="27"/>
  <c r="E24" i="27"/>
  <c r="E25" i="27"/>
  <c r="E26" i="27"/>
  <c r="E27" i="27"/>
  <c r="E28" i="27"/>
  <c r="E29" i="27"/>
  <c r="E30" i="27"/>
  <c r="E31" i="27"/>
  <c r="E32" i="27"/>
  <c r="E33" i="27"/>
  <c r="E34" i="27"/>
  <c r="E35" i="27"/>
  <c r="E36" i="27"/>
  <c r="E37" i="27"/>
  <c r="E38" i="27"/>
  <c r="E39" i="27"/>
  <c r="E40" i="27"/>
  <c r="E41" i="27"/>
  <c r="E42" i="27"/>
  <c r="E43" i="27"/>
  <c r="E44" i="27"/>
  <c r="E45" i="27"/>
  <c r="E46" i="27"/>
  <c r="E47" i="27"/>
  <c r="E48" i="27"/>
  <c r="E49" i="27"/>
  <c r="E50" i="27"/>
  <c r="E51" i="27"/>
  <c r="E52" i="27"/>
  <c r="E3" i="27"/>
  <c r="O5" i="35"/>
  <c r="O6" i="35"/>
  <c r="O7" i="35"/>
  <c r="O8" i="35"/>
  <c r="O9" i="35"/>
  <c r="O10" i="35"/>
  <c r="O11" i="35"/>
  <c r="O12" i="35"/>
  <c r="O13" i="35"/>
  <c r="O14" i="35"/>
  <c r="O15" i="35"/>
  <c r="O16" i="35"/>
  <c r="O17" i="35"/>
  <c r="O18" i="35"/>
  <c r="O19" i="35"/>
  <c r="O20" i="35"/>
  <c r="O21" i="35"/>
  <c r="O22" i="35"/>
  <c r="O23" i="35"/>
  <c r="O24" i="35"/>
  <c r="O25" i="35"/>
  <c r="O26" i="35"/>
  <c r="O27" i="35"/>
  <c r="O28" i="35"/>
  <c r="O29" i="35"/>
  <c r="O30" i="35"/>
  <c r="O31" i="35"/>
  <c r="O32" i="35"/>
  <c r="O33" i="35"/>
  <c r="O34" i="35"/>
  <c r="O35" i="35"/>
  <c r="O36" i="35"/>
  <c r="O37" i="35"/>
  <c r="O38" i="35"/>
  <c r="O39" i="35"/>
  <c r="O40" i="35"/>
  <c r="O41" i="35"/>
  <c r="O42" i="35"/>
  <c r="O43" i="35"/>
  <c r="O44" i="35"/>
  <c r="O45" i="35"/>
  <c r="O46" i="35"/>
  <c r="O47" i="35"/>
  <c r="O48" i="35"/>
  <c r="O49" i="35"/>
  <c r="O50" i="35"/>
  <c r="O51" i="35"/>
  <c r="O52" i="35"/>
  <c r="O53" i="35"/>
  <c r="O4" i="35"/>
  <c r="N5" i="35"/>
  <c r="S4" i="18" s="1"/>
  <c r="N6" i="35"/>
  <c r="N7" i="35"/>
  <c r="N8" i="35"/>
  <c r="AQ7" i="18" s="1"/>
  <c r="N9" i="35"/>
  <c r="AQ8" i="18" s="1"/>
  <c r="N10" i="35"/>
  <c r="N11" i="35"/>
  <c r="N12" i="35"/>
  <c r="N13" i="35"/>
  <c r="N14" i="35"/>
  <c r="N15" i="35"/>
  <c r="N16" i="35"/>
  <c r="N17" i="35"/>
  <c r="N18" i="35"/>
  <c r="S17" i="18" s="1"/>
  <c r="N19" i="35"/>
  <c r="AU18" i="18" s="1"/>
  <c r="N20" i="35"/>
  <c r="N21" i="35"/>
  <c r="N22" i="35"/>
  <c r="AI21" i="18" s="1"/>
  <c r="N23" i="35"/>
  <c r="AQ22" i="18" s="1"/>
  <c r="N24" i="35"/>
  <c r="N25" i="35"/>
  <c r="N26" i="35"/>
  <c r="N27" i="35"/>
  <c r="N28" i="35"/>
  <c r="N29" i="35"/>
  <c r="N30" i="35"/>
  <c r="N31" i="35"/>
  <c r="N32" i="35"/>
  <c r="O31" i="18" s="1"/>
  <c r="N33" i="35"/>
  <c r="N34" i="35"/>
  <c r="N35" i="35"/>
  <c r="N36" i="35"/>
  <c r="AU35" i="18" s="1"/>
  <c r="N37" i="35"/>
  <c r="S36" i="18" s="1"/>
  <c r="N38" i="35"/>
  <c r="N39" i="35"/>
  <c r="N40" i="35"/>
  <c r="N41" i="35"/>
  <c r="N42" i="35"/>
  <c r="N43" i="35"/>
  <c r="N44" i="35"/>
  <c r="N45" i="35"/>
  <c r="N46" i="35"/>
  <c r="AQ45" i="18" s="1"/>
  <c r="N47" i="35"/>
  <c r="N48" i="35"/>
  <c r="N49" i="35"/>
  <c r="N50" i="35"/>
  <c r="S49" i="18" s="1"/>
  <c r="N51" i="35"/>
  <c r="N52" i="35"/>
  <c r="N53" i="35"/>
  <c r="N4" i="35"/>
  <c r="I5" i="35"/>
  <c r="I6" i="35"/>
  <c r="I7" i="35"/>
  <c r="I8" i="35"/>
  <c r="I9" i="35"/>
  <c r="I10" i="35"/>
  <c r="I11" i="35"/>
  <c r="I12" i="35"/>
  <c r="I13" i="35"/>
  <c r="I14" i="35"/>
  <c r="I15" i="35"/>
  <c r="I16" i="35"/>
  <c r="I17" i="35"/>
  <c r="I18" i="35"/>
  <c r="I19" i="35"/>
  <c r="I20" i="35"/>
  <c r="I21" i="35"/>
  <c r="I22" i="35"/>
  <c r="I23" i="35"/>
  <c r="I24" i="35"/>
  <c r="I25" i="35"/>
  <c r="I26" i="35"/>
  <c r="I27" i="35"/>
  <c r="I28" i="35"/>
  <c r="I29" i="35"/>
  <c r="I30" i="35"/>
  <c r="I31" i="35"/>
  <c r="I32" i="35"/>
  <c r="I33" i="35"/>
  <c r="I34" i="35"/>
  <c r="I35" i="35"/>
  <c r="I36" i="35"/>
  <c r="I37" i="35"/>
  <c r="I38" i="35"/>
  <c r="I39" i="35"/>
  <c r="I40" i="35"/>
  <c r="I41" i="35"/>
  <c r="I42" i="35"/>
  <c r="I43" i="35"/>
  <c r="I44" i="35"/>
  <c r="I45" i="35"/>
  <c r="I46" i="35"/>
  <c r="I47" i="35"/>
  <c r="I48" i="35"/>
  <c r="I49" i="35"/>
  <c r="I50" i="35"/>
  <c r="I51" i="35"/>
  <c r="I52" i="35"/>
  <c r="I53" i="35"/>
  <c r="I4" i="35"/>
  <c r="J35" i="31" s="1"/>
  <c r="H5" i="35"/>
  <c r="H6" i="35"/>
  <c r="H7" i="35"/>
  <c r="H8" i="35"/>
  <c r="H9" i="35"/>
  <c r="H10" i="35"/>
  <c r="H11" i="35"/>
  <c r="H12" i="35"/>
  <c r="H13" i="35"/>
  <c r="H14" i="35"/>
  <c r="H15" i="35"/>
  <c r="H16" i="35"/>
  <c r="H17" i="35"/>
  <c r="H18" i="35"/>
  <c r="H19" i="35"/>
  <c r="H20" i="35"/>
  <c r="H21" i="35"/>
  <c r="H22" i="35"/>
  <c r="H23" i="35"/>
  <c r="H24" i="35"/>
  <c r="H25" i="35"/>
  <c r="H26" i="35"/>
  <c r="H27" i="35"/>
  <c r="H28" i="35"/>
  <c r="H29" i="35"/>
  <c r="H30" i="35"/>
  <c r="H31" i="35"/>
  <c r="H32" i="35"/>
  <c r="H33" i="35"/>
  <c r="H34" i="35"/>
  <c r="H35" i="35"/>
  <c r="H36" i="35"/>
  <c r="H37" i="35"/>
  <c r="H38" i="35"/>
  <c r="H39" i="35"/>
  <c r="H40" i="35"/>
  <c r="H41" i="35"/>
  <c r="H42" i="35"/>
  <c r="H43" i="35"/>
  <c r="H44" i="35"/>
  <c r="H45" i="35"/>
  <c r="H46" i="35"/>
  <c r="H47" i="35"/>
  <c r="H48" i="35"/>
  <c r="H49" i="35"/>
  <c r="H50" i="35"/>
  <c r="H51" i="35"/>
  <c r="H52" i="35"/>
  <c r="H53" i="35"/>
  <c r="H4" i="35"/>
  <c r="F5" i="35"/>
  <c r="F6" i="35"/>
  <c r="F7" i="35"/>
  <c r="F8" i="35"/>
  <c r="F9" i="35"/>
  <c r="F10" i="35"/>
  <c r="F11" i="35"/>
  <c r="F12" i="35"/>
  <c r="F13" i="35"/>
  <c r="F14" i="35"/>
  <c r="F15" i="35"/>
  <c r="F16" i="35"/>
  <c r="F17" i="35"/>
  <c r="F18" i="35"/>
  <c r="F19" i="35"/>
  <c r="F20" i="35"/>
  <c r="F21" i="35"/>
  <c r="F22" i="35"/>
  <c r="F23" i="35"/>
  <c r="F24" i="35"/>
  <c r="F25" i="35"/>
  <c r="F26" i="35"/>
  <c r="F27" i="35"/>
  <c r="F28" i="35"/>
  <c r="F29" i="35"/>
  <c r="F30" i="35"/>
  <c r="F31" i="35"/>
  <c r="F32" i="35"/>
  <c r="F33" i="35"/>
  <c r="F34" i="35"/>
  <c r="F35" i="35"/>
  <c r="F36" i="35"/>
  <c r="F37" i="35"/>
  <c r="F38" i="35"/>
  <c r="F39" i="35"/>
  <c r="F40" i="35"/>
  <c r="F41" i="35"/>
  <c r="F42" i="35"/>
  <c r="F43" i="35"/>
  <c r="F44" i="35"/>
  <c r="F45" i="35"/>
  <c r="F46" i="35"/>
  <c r="F47" i="35"/>
  <c r="F48" i="35"/>
  <c r="F49" i="35"/>
  <c r="F50" i="35"/>
  <c r="F51" i="35"/>
  <c r="F52" i="35"/>
  <c r="F53" i="35"/>
  <c r="F4" i="35"/>
  <c r="E5" i="35"/>
  <c r="E6" i="35"/>
  <c r="E7" i="35"/>
  <c r="E8" i="35"/>
  <c r="E9" i="35"/>
  <c r="E10" i="35"/>
  <c r="E11" i="35"/>
  <c r="E12" i="35"/>
  <c r="E13" i="35"/>
  <c r="E14" i="35"/>
  <c r="E15" i="35"/>
  <c r="E16" i="35"/>
  <c r="E17" i="35"/>
  <c r="E18" i="35"/>
  <c r="E19" i="35"/>
  <c r="E20" i="35"/>
  <c r="E21" i="35"/>
  <c r="E22" i="35"/>
  <c r="E23" i="35"/>
  <c r="E24" i="35"/>
  <c r="E25" i="35"/>
  <c r="E26" i="35"/>
  <c r="E27" i="35"/>
  <c r="E28" i="35"/>
  <c r="E29" i="35"/>
  <c r="E30" i="35"/>
  <c r="E31" i="35"/>
  <c r="E32" i="35"/>
  <c r="E33" i="35"/>
  <c r="E34" i="35"/>
  <c r="E35" i="35"/>
  <c r="E36" i="35"/>
  <c r="E37" i="35"/>
  <c r="E38" i="35"/>
  <c r="E39" i="35"/>
  <c r="L38" i="18" s="1"/>
  <c r="E40" i="35"/>
  <c r="E41" i="35"/>
  <c r="E42" i="35"/>
  <c r="E43" i="35"/>
  <c r="E44" i="35"/>
  <c r="E45" i="35"/>
  <c r="E46" i="35"/>
  <c r="E47" i="35"/>
  <c r="E48" i="35"/>
  <c r="E49" i="35"/>
  <c r="E50" i="35"/>
  <c r="E51" i="35"/>
  <c r="E52" i="35"/>
  <c r="E53" i="35"/>
  <c r="E4" i="35"/>
  <c r="J39" i="31"/>
  <c r="F159" i="31"/>
  <c r="E3" i="8"/>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2" i="8"/>
  <c r="Z22" i="18" l="1"/>
  <c r="Z40" i="18"/>
  <c r="AH31" i="18"/>
  <c r="V36" i="18"/>
  <c r="V50" i="18"/>
  <c r="Z19" i="18"/>
  <c r="V18" i="18"/>
  <c r="CF22" i="26"/>
  <c r="BM23" i="27" s="1"/>
  <c r="AT29" i="18"/>
  <c r="AL40" i="18"/>
  <c r="Z25" i="18"/>
  <c r="AP17" i="18"/>
  <c r="R40" i="18"/>
  <c r="AI20" i="18"/>
  <c r="N36" i="18"/>
  <c r="R22" i="18"/>
  <c r="AU31" i="18"/>
  <c r="AU43" i="18"/>
  <c r="S29" i="18"/>
  <c r="S15" i="18"/>
  <c r="O42" i="18"/>
  <c r="AQ28" i="18"/>
  <c r="S14" i="18"/>
  <c r="S3" i="18"/>
  <c r="AA39" i="18"/>
  <c r="S25" i="18"/>
  <c r="AA11" i="18"/>
  <c r="AA13" i="18"/>
  <c r="AI52" i="18"/>
  <c r="S38" i="18"/>
  <c r="AM24" i="18"/>
  <c r="AU10" i="18"/>
  <c r="AM37" i="18"/>
  <c r="AY27" i="18"/>
  <c r="AY13" i="18"/>
  <c r="O28" i="18"/>
  <c r="S18" i="18"/>
  <c r="W45" i="18"/>
  <c r="W17" i="18"/>
  <c r="O32" i="18"/>
  <c r="AU4" i="18"/>
  <c r="AY46" i="18"/>
  <c r="Z45" i="8" s="1"/>
  <c r="AQ18" i="18"/>
  <c r="O4" i="18"/>
  <c r="S28" i="18"/>
  <c r="W31" i="18"/>
  <c r="AY20" i="18"/>
  <c r="AY6" i="18"/>
  <c r="AY51" i="18"/>
  <c r="AY44" i="18"/>
  <c r="AY37" i="18"/>
  <c r="AY23" i="18"/>
  <c r="AU16" i="18"/>
  <c r="AM49" i="18"/>
  <c r="S47" i="18"/>
  <c r="O19" i="18"/>
  <c r="AU5" i="18"/>
  <c r="AM29" i="18"/>
  <c r="AM7" i="18"/>
  <c r="O49" i="18"/>
  <c r="S42" i="18"/>
  <c r="O45" i="18"/>
  <c r="AY43" i="18"/>
  <c r="AM21" i="18"/>
  <c r="O21" i="18"/>
  <c r="AQ49" i="18"/>
  <c r="AM35" i="18"/>
  <c r="S7" i="18"/>
  <c r="AM38" i="18"/>
  <c r="AM31" i="18"/>
  <c r="AU17" i="18"/>
  <c r="O43" i="18"/>
  <c r="AA42" i="18"/>
  <c r="AU45" i="18"/>
  <c r="AM48" i="18"/>
  <c r="AY48" i="18"/>
  <c r="AQ41" i="18"/>
  <c r="AY41" i="18"/>
  <c r="AU34" i="18"/>
  <c r="AY34" i="18"/>
  <c r="AI27" i="18"/>
  <c r="AA27" i="18"/>
  <c r="AI31" i="18"/>
  <c r="AA48" i="18"/>
  <c r="AA9" i="18"/>
  <c r="AY9" i="18"/>
  <c r="O16" i="18"/>
  <c r="W51" i="18"/>
  <c r="AA34" i="18"/>
  <c r="AU13" i="18"/>
  <c r="AM9" i="18"/>
  <c r="W47" i="18"/>
  <c r="AY47" i="18"/>
  <c r="AI40" i="18"/>
  <c r="AY40" i="18"/>
  <c r="AI33" i="18"/>
  <c r="AY33" i="18"/>
  <c r="AM26" i="18"/>
  <c r="AY26" i="18"/>
  <c r="S19" i="18"/>
  <c r="AY19" i="18"/>
  <c r="AA12" i="18"/>
  <c r="AY12" i="18"/>
  <c r="AA5" i="18"/>
  <c r="AY5" i="18"/>
  <c r="AI44" i="18"/>
  <c r="AU30" i="18"/>
  <c r="AY30" i="18"/>
  <c r="Z29" i="8" s="1"/>
  <c r="O23" i="18"/>
  <c r="AA6" i="18"/>
  <c r="AM50" i="18"/>
  <c r="AY50" i="18"/>
  <c r="O36" i="18"/>
  <c r="AY36" i="18"/>
  <c r="AU29" i="18"/>
  <c r="AY29" i="18"/>
  <c r="AM22" i="18"/>
  <c r="AY22" i="18"/>
  <c r="AM15" i="18"/>
  <c r="AY15" i="18"/>
  <c r="O8" i="18"/>
  <c r="AY8" i="18"/>
  <c r="S22" i="18"/>
  <c r="AA44" i="18"/>
  <c r="AU48" i="18"/>
  <c r="AM51" i="18"/>
  <c r="AI39" i="18"/>
  <c r="AY39" i="18"/>
  <c r="AU32" i="18"/>
  <c r="AY32" i="18"/>
  <c r="AM25" i="18"/>
  <c r="AY25" i="18"/>
  <c r="AM18" i="18"/>
  <c r="AY18" i="18"/>
  <c r="AI11" i="18"/>
  <c r="AY11" i="18"/>
  <c r="AA4" i="18"/>
  <c r="AY4" i="18"/>
  <c r="W18" i="18"/>
  <c r="AI22" i="18"/>
  <c r="S35" i="18"/>
  <c r="AU41" i="18"/>
  <c r="S16" i="18"/>
  <c r="AY16" i="18"/>
  <c r="O37" i="18"/>
  <c r="AA20" i="18"/>
  <c r="W41" i="18"/>
  <c r="O50" i="18"/>
  <c r="AQ17" i="18"/>
  <c r="O9" i="18"/>
  <c r="AI49" i="18"/>
  <c r="AY49" i="18"/>
  <c r="AI42" i="18"/>
  <c r="AY42" i="18"/>
  <c r="AA35" i="18"/>
  <c r="AY35" i="18"/>
  <c r="AM28" i="18"/>
  <c r="AY28" i="18"/>
  <c r="AA21" i="18"/>
  <c r="AY21" i="18"/>
  <c r="AU14" i="18"/>
  <c r="AY14" i="18"/>
  <c r="O7" i="18"/>
  <c r="AY7" i="18"/>
  <c r="O17" i="18"/>
  <c r="AA30" i="18"/>
  <c r="S21" i="18"/>
  <c r="W3" i="18"/>
  <c r="AY3" i="18"/>
  <c r="O41" i="18"/>
  <c r="AI13" i="18"/>
  <c r="AA52" i="18"/>
  <c r="AY52" i="18"/>
  <c r="S45" i="18"/>
  <c r="AY45" i="18"/>
  <c r="O38" i="18"/>
  <c r="AY38" i="18"/>
  <c r="AA31" i="18"/>
  <c r="AY31" i="18"/>
  <c r="O24" i="18"/>
  <c r="AY24" i="18"/>
  <c r="AI17" i="18"/>
  <c r="AY17" i="18"/>
  <c r="AQ10" i="18"/>
  <c r="AY10" i="18"/>
  <c r="S52" i="18"/>
  <c r="AU21" i="18"/>
  <c r="AM14" i="18"/>
  <c r="W24" i="18"/>
  <c r="S40" i="18"/>
  <c r="AA7" i="18"/>
  <c r="V3" i="18"/>
  <c r="AX3" i="18"/>
  <c r="N14" i="18"/>
  <c r="AX14" i="18"/>
  <c r="Z49" i="18"/>
  <c r="AX49" i="18"/>
  <c r="AL42" i="18"/>
  <c r="AX42" i="18"/>
  <c r="AH35" i="18"/>
  <c r="AX35" i="18"/>
  <c r="AL28" i="18"/>
  <c r="AX28" i="18"/>
  <c r="Z21" i="18"/>
  <c r="AX21" i="18"/>
  <c r="AT7" i="18"/>
  <c r="AX7" i="18"/>
  <c r="AT21" i="18"/>
  <c r="AP21" i="18"/>
  <c r="AT13" i="18"/>
  <c r="AL48" i="18"/>
  <c r="AL52" i="18"/>
  <c r="AX52" i="18"/>
  <c r="AP45" i="18"/>
  <c r="AX45" i="18"/>
  <c r="R38" i="18"/>
  <c r="AX38" i="18"/>
  <c r="N31" i="18"/>
  <c r="AX31" i="18"/>
  <c r="AT24" i="18"/>
  <c r="AX24" i="18"/>
  <c r="AL17" i="18"/>
  <c r="AX17" i="18"/>
  <c r="AP10" i="18"/>
  <c r="AX10" i="18"/>
  <c r="N6" i="18"/>
  <c r="V35" i="18"/>
  <c r="V31" i="18"/>
  <c r="AT3" i="18"/>
  <c r="AL49" i="18"/>
  <c r="AT34" i="18"/>
  <c r="AX34" i="18"/>
  <c r="AH44" i="18"/>
  <c r="AX44" i="18"/>
  <c r="AT30" i="18"/>
  <c r="AX30" i="18"/>
  <c r="AP23" i="18"/>
  <c r="AX23" i="18"/>
  <c r="N9" i="18"/>
  <c r="AX9" i="18"/>
  <c r="AH48" i="18"/>
  <c r="AX48" i="18"/>
  <c r="AP20" i="18"/>
  <c r="AX20" i="18"/>
  <c r="AH37" i="18"/>
  <c r="AX37" i="18"/>
  <c r="AT48" i="18"/>
  <c r="AH52" i="18"/>
  <c r="AP49" i="18"/>
  <c r="AH41" i="18"/>
  <c r="AX41" i="18"/>
  <c r="N20" i="18"/>
  <c r="AT51" i="18"/>
  <c r="AX51" i="18"/>
  <c r="N16" i="18"/>
  <c r="AX16" i="18"/>
  <c r="R41" i="18"/>
  <c r="AP47" i="18"/>
  <c r="AX47" i="18"/>
  <c r="AT40" i="18"/>
  <c r="AX40" i="18"/>
  <c r="AT33" i="18"/>
  <c r="AX33" i="18"/>
  <c r="AL26" i="18"/>
  <c r="AX26" i="18"/>
  <c r="R19" i="18"/>
  <c r="AX19" i="18"/>
  <c r="Z12" i="18"/>
  <c r="AX12" i="18"/>
  <c r="N5" i="18"/>
  <c r="AX5" i="18"/>
  <c r="AL27" i="18"/>
  <c r="AX27" i="18"/>
  <c r="AL41" i="18"/>
  <c r="AL20" i="18"/>
  <c r="AT41" i="18"/>
  <c r="AH6" i="18"/>
  <c r="AX6" i="18"/>
  <c r="AP50" i="18"/>
  <c r="AX50" i="18"/>
  <c r="AH43" i="18"/>
  <c r="AX43" i="18"/>
  <c r="AH29" i="18"/>
  <c r="AX29" i="18"/>
  <c r="AL22" i="18"/>
  <c r="AX22" i="18"/>
  <c r="AH15" i="18"/>
  <c r="AX15" i="18"/>
  <c r="N8" i="18"/>
  <c r="AX8" i="18"/>
  <c r="Z36" i="18"/>
  <c r="AT8" i="18"/>
  <c r="R47" i="18"/>
  <c r="AT6" i="18"/>
  <c r="AT28" i="18"/>
  <c r="R3" i="18"/>
  <c r="V22" i="18"/>
  <c r="AT45" i="18"/>
  <c r="V7" i="18"/>
  <c r="AL13" i="18"/>
  <c r="AX13" i="18"/>
  <c r="R20" i="18"/>
  <c r="Z39" i="18"/>
  <c r="AX39" i="18"/>
  <c r="N32" i="18"/>
  <c r="AX32" i="18"/>
  <c r="R25" i="18"/>
  <c r="AX25" i="18"/>
  <c r="AH18" i="18"/>
  <c r="AX18" i="18"/>
  <c r="AH11" i="18"/>
  <c r="AX11" i="18"/>
  <c r="Z4" i="18"/>
  <c r="AX4" i="18"/>
  <c r="N4" i="18"/>
  <c r="N43" i="18"/>
  <c r="AL39" i="18"/>
  <c r="AT17" i="18"/>
  <c r="AL11" i="18"/>
  <c r="AL38" i="18"/>
  <c r="Y51" i="18"/>
  <c r="K38" i="18"/>
  <c r="I38" i="18"/>
  <c r="K24" i="18"/>
  <c r="I24" i="18"/>
  <c r="X49" i="18"/>
  <c r="W15" i="18"/>
  <c r="V15" i="18"/>
  <c r="AH24" i="18"/>
  <c r="I27" i="18"/>
  <c r="K27" i="18"/>
  <c r="Q52" i="18"/>
  <c r="Y38" i="18"/>
  <c r="AM27" i="18"/>
  <c r="Q24" i="18"/>
  <c r="AQ20" i="18"/>
  <c r="Y17" i="18"/>
  <c r="AM13" i="18"/>
  <c r="AI6" i="18"/>
  <c r="V25" i="18"/>
  <c r="W25" i="18"/>
  <c r="W37" i="18"/>
  <c r="V37" i="18"/>
  <c r="AP43" i="18"/>
  <c r="AQ43" i="18"/>
  <c r="AQ16" i="18"/>
  <c r="AP16" i="18"/>
  <c r="AM33" i="18"/>
  <c r="AA36" i="18"/>
  <c r="N49" i="18"/>
  <c r="AL21" i="18"/>
  <c r="AU8" i="18"/>
  <c r="W36" i="18"/>
  <c r="AL31" i="18"/>
  <c r="AL37" i="18"/>
  <c r="AU52" i="18"/>
  <c r="V41" i="18"/>
  <c r="R32" i="18"/>
  <c r="AA16" i="18"/>
  <c r="AA40" i="18"/>
  <c r="AH22" i="18"/>
  <c r="AU6" i="18"/>
  <c r="AH27" i="18"/>
  <c r="O13" i="18"/>
  <c r="Z11" i="18"/>
  <c r="N50" i="18"/>
  <c r="R23" i="18"/>
  <c r="N25" i="18"/>
  <c r="N11" i="18"/>
  <c r="AI24" i="18"/>
  <c r="AA24" i="18"/>
  <c r="AM41" i="18"/>
  <c r="N21" i="18"/>
  <c r="V17" i="18"/>
  <c r="AU42" i="18"/>
  <c r="S20" i="18"/>
  <c r="AA50" i="18"/>
  <c r="R10" i="18"/>
  <c r="V45" i="18"/>
  <c r="AM40" i="18"/>
  <c r="AT4" i="18"/>
  <c r="AA10" i="18"/>
  <c r="AP24" i="18"/>
  <c r="R5" i="18"/>
  <c r="W7" i="18"/>
  <c r="R49" i="18"/>
  <c r="AP8" i="18"/>
  <c r="AT16" i="18"/>
  <c r="R21" i="18"/>
  <c r="K23" i="18"/>
  <c r="I23" i="18"/>
  <c r="I42" i="18"/>
  <c r="K42" i="18"/>
  <c r="I14" i="18"/>
  <c r="K14" i="18"/>
  <c r="X35" i="18"/>
  <c r="L21" i="18"/>
  <c r="V38" i="18"/>
  <c r="W38" i="18"/>
  <c r="AT52" i="18"/>
  <c r="S32" i="18"/>
  <c r="S23" i="18"/>
  <c r="O11" i="18"/>
  <c r="Z10" i="18"/>
  <c r="I13" i="18"/>
  <c r="K13" i="18"/>
  <c r="I26" i="18"/>
  <c r="K26" i="18"/>
  <c r="I12" i="18"/>
  <c r="K12" i="18"/>
  <c r="W14" i="18"/>
  <c r="V14" i="18"/>
  <c r="V46" i="18"/>
  <c r="W46" i="18"/>
  <c r="W29" i="18"/>
  <c r="V29" i="18"/>
  <c r="AI34" i="18"/>
  <c r="AH21" i="18"/>
  <c r="AU12" i="18"/>
  <c r="O12" i="18"/>
  <c r="W50" i="18"/>
  <c r="AT49" i="18"/>
  <c r="W20" i="18"/>
  <c r="O22" i="18"/>
  <c r="AP28" i="18"/>
  <c r="N34" i="18"/>
  <c r="AU11" i="18"/>
  <c r="N48" i="18"/>
  <c r="AH42" i="18"/>
  <c r="AH38" i="18"/>
  <c r="AP5" i="18"/>
  <c r="AH45" i="18"/>
  <c r="AL34" i="18"/>
  <c r="AA18" i="18"/>
  <c r="AA14" i="18"/>
  <c r="AQ11" i="18"/>
  <c r="O35" i="18"/>
  <c r="AU39" i="18"/>
  <c r="Z37" i="18"/>
  <c r="AH19" i="18"/>
  <c r="AL8" i="18"/>
  <c r="AH32" i="18"/>
  <c r="AP9" i="18"/>
  <c r="R6" i="18"/>
  <c r="R27" i="18"/>
  <c r="V8" i="18"/>
  <c r="Z8" i="18"/>
  <c r="O18" i="18"/>
  <c r="AP19" i="18"/>
  <c r="AU19" i="18"/>
  <c r="W48" i="18"/>
  <c r="Z38" i="18"/>
  <c r="O40" i="18"/>
  <c r="R34" i="18"/>
  <c r="AU38" i="18"/>
  <c r="AP35" i="18"/>
  <c r="AA46" i="18"/>
  <c r="Z46" i="18"/>
  <c r="Z30" i="18"/>
  <c r="I28" i="18"/>
  <c r="K28" i="18"/>
  <c r="T7" i="18"/>
  <c r="AQ12" i="18"/>
  <c r="AP12" i="18"/>
  <c r="Z16" i="18"/>
  <c r="O25" i="18"/>
  <c r="Z24" i="18"/>
  <c r="S10" i="18"/>
  <c r="AQ24" i="18"/>
  <c r="S5" i="18"/>
  <c r="I41" i="18"/>
  <c r="K41" i="18"/>
  <c r="I40" i="18"/>
  <c r="K40" i="18"/>
  <c r="I3" i="18"/>
  <c r="K3" i="18"/>
  <c r="I39" i="18"/>
  <c r="K39" i="18"/>
  <c r="I25" i="18"/>
  <c r="K25" i="18"/>
  <c r="I11" i="18"/>
  <c r="K11" i="18"/>
  <c r="AU51" i="18"/>
  <c r="AM44" i="18"/>
  <c r="AQ44" i="18"/>
  <c r="AI37" i="18"/>
  <c r="AQ30" i="18"/>
  <c r="AI30" i="18"/>
  <c r="AQ23" i="18"/>
  <c r="AM16" i="18"/>
  <c r="AI16" i="18"/>
  <c r="V12" i="18"/>
  <c r="W12" i="18"/>
  <c r="W43" i="18"/>
  <c r="V43" i="18"/>
  <c r="AQ13" i="18"/>
  <c r="AP13" i="18"/>
  <c r="AH34" i="18"/>
  <c r="R14" i="18"/>
  <c r="AT12" i="18"/>
  <c r="N12" i="18"/>
  <c r="N42" i="18"/>
  <c r="AU49" i="18"/>
  <c r="V20" i="18"/>
  <c r="O34" i="18"/>
  <c r="O48" i="18"/>
  <c r="AI38" i="18"/>
  <c r="AQ5" i="18"/>
  <c r="AI45" i="18"/>
  <c r="AM34" i="18"/>
  <c r="Z18" i="18"/>
  <c r="Z14" i="18"/>
  <c r="AP11" i="18"/>
  <c r="R16" i="18"/>
  <c r="N35" i="18"/>
  <c r="AT39" i="18"/>
  <c r="AA37" i="18"/>
  <c r="AI19" i="18"/>
  <c r="AM8" i="18"/>
  <c r="AI32" i="18"/>
  <c r="AQ9" i="18"/>
  <c r="S6" i="18"/>
  <c r="S27" i="18"/>
  <c r="W8" i="18"/>
  <c r="AA8" i="18"/>
  <c r="N18" i="18"/>
  <c r="AQ19" i="18"/>
  <c r="AT19" i="18"/>
  <c r="V48" i="18"/>
  <c r="AA38" i="18"/>
  <c r="N40" i="18"/>
  <c r="S34" i="18"/>
  <c r="AT38" i="18"/>
  <c r="AQ35" i="18"/>
  <c r="K50" i="18"/>
  <c r="I50" i="18"/>
  <c r="AP39" i="18"/>
  <c r="AQ39" i="18"/>
  <c r="S43" i="18"/>
  <c r="S12" i="18"/>
  <c r="AU26" i="18"/>
  <c r="AU37" i="18"/>
  <c r="K35" i="18"/>
  <c r="I35" i="18"/>
  <c r="K7" i="18"/>
  <c r="I7" i="18"/>
  <c r="AI43" i="18"/>
  <c r="AQ36" i="18"/>
  <c r="AI36" i="18"/>
  <c r="AI29" i="18"/>
  <c r="AI15" i="18"/>
  <c r="W21" i="18"/>
  <c r="V21" i="18"/>
  <c r="AP38" i="18"/>
  <c r="AQ38" i="18"/>
  <c r="V13" i="18"/>
  <c r="W13" i="18"/>
  <c r="AM20" i="18"/>
  <c r="Z20" i="18"/>
  <c r="AI28" i="18"/>
  <c r="AM6" i="18"/>
  <c r="AA22" i="18"/>
  <c r="W44" i="18"/>
  <c r="AA43" i="18"/>
  <c r="AT10" i="18"/>
  <c r="N28" i="18"/>
  <c r="Z42" i="18"/>
  <c r="R28" i="18"/>
  <c r="AA29" i="18"/>
  <c r="Z34" i="18"/>
  <c r="R42" i="18"/>
  <c r="R31" i="18"/>
  <c r="AP52" i="18"/>
  <c r="W35" i="18"/>
  <c r="AL24" i="18"/>
  <c r="AU28" i="18"/>
  <c r="AQ21" i="18"/>
  <c r="R29" i="18"/>
  <c r="S41" i="18"/>
  <c r="AL14" i="18"/>
  <c r="AL7" i="18"/>
  <c r="AM11" i="18"/>
  <c r="AA33" i="18"/>
  <c r="AQ51" i="18"/>
  <c r="AT9" i="18"/>
  <c r="AI14" i="18"/>
  <c r="AM32" i="18"/>
  <c r="Z27" i="18"/>
  <c r="R43" i="18"/>
  <c r="R18" i="18"/>
  <c r="R12" i="18"/>
  <c r="AL35" i="18"/>
  <c r="AH13" i="18"/>
  <c r="AT26" i="18"/>
  <c r="W22" i="18"/>
  <c r="AP22" i="18"/>
  <c r="AA51" i="18"/>
  <c r="AT37" i="18"/>
  <c r="AM19" i="18"/>
  <c r="Z7" i="18"/>
  <c r="AH30" i="18"/>
  <c r="AP30" i="18"/>
  <c r="K37" i="18"/>
  <c r="I37" i="18"/>
  <c r="AA19" i="18"/>
  <c r="AI25" i="18"/>
  <c r="AH17" i="18"/>
  <c r="AP51" i="18"/>
  <c r="K49" i="18"/>
  <c r="I49" i="18"/>
  <c r="K21" i="18"/>
  <c r="I21" i="18"/>
  <c r="K48" i="18"/>
  <c r="I48" i="18"/>
  <c r="K34" i="18"/>
  <c r="I34" i="18"/>
  <c r="K20" i="18"/>
  <c r="I20" i="18"/>
  <c r="K6" i="18"/>
  <c r="I6" i="18"/>
  <c r="AP36" i="18"/>
  <c r="AH36" i="18"/>
  <c r="V26" i="18"/>
  <c r="W26" i="18"/>
  <c r="W28" i="18"/>
  <c r="V28" i="18"/>
  <c r="AQ42" i="18"/>
  <c r="AP42" i="18"/>
  <c r="AP41" i="18"/>
  <c r="Z15" i="18"/>
  <c r="AL5" i="18"/>
  <c r="S30" i="18"/>
  <c r="S24" i="18"/>
  <c r="AT27" i="18"/>
  <c r="AH5" i="18"/>
  <c r="V30" i="18"/>
  <c r="AQ32" i="18"/>
  <c r="S44" i="18"/>
  <c r="V9" i="18"/>
  <c r="S11" i="18"/>
  <c r="AI50" i="18"/>
  <c r="AL12" i="18"/>
  <c r="AL25" i="18"/>
  <c r="AI8" i="18"/>
  <c r="AT22" i="18"/>
  <c r="AH49" i="18"/>
  <c r="S39" i="18"/>
  <c r="AA41" i="18"/>
  <c r="AH33" i="18"/>
  <c r="AL36" i="18"/>
  <c r="AT36" i="18"/>
  <c r="AQ31" i="18"/>
  <c r="Z26" i="18"/>
  <c r="AU25" i="18"/>
  <c r="S50" i="18"/>
  <c r="AT15" i="18"/>
  <c r="Z45" i="18"/>
  <c r="AA49" i="18"/>
  <c r="N27" i="18"/>
  <c r="O47" i="18"/>
  <c r="O26" i="18"/>
  <c r="AI41" i="18"/>
  <c r="AL4" i="18"/>
  <c r="AA28" i="18"/>
  <c r="AH10" i="18"/>
  <c r="AA32" i="18"/>
  <c r="AM10" i="18"/>
  <c r="AP6" i="18"/>
  <c r="AL44" i="18"/>
  <c r="AP44" i="18"/>
  <c r="V11" i="18"/>
  <c r="W11" i="18"/>
  <c r="AA25" i="18"/>
  <c r="Q9" i="18"/>
  <c r="AP29" i="18"/>
  <c r="AQ29" i="18"/>
  <c r="AI12" i="18"/>
  <c r="K22" i="18"/>
  <c r="I22" i="18"/>
  <c r="AL47" i="18"/>
  <c r="AH47" i="18"/>
  <c r="AT47" i="18"/>
  <c r="V27" i="18"/>
  <c r="W27" i="18"/>
  <c r="AQ52" i="18"/>
  <c r="AU9" i="18"/>
  <c r="AL19" i="18"/>
  <c r="K47" i="18"/>
  <c r="I47" i="18"/>
  <c r="K33" i="18"/>
  <c r="I33" i="18"/>
  <c r="K19" i="18"/>
  <c r="I19" i="18"/>
  <c r="K5" i="18"/>
  <c r="I5" i="18"/>
  <c r="AI18" i="18"/>
  <c r="AQ4" i="18"/>
  <c r="AI4" i="18"/>
  <c r="V40" i="18"/>
  <c r="W40" i="18"/>
  <c r="AQ37" i="18"/>
  <c r="AP37" i="18"/>
  <c r="AP25" i="18"/>
  <c r="AQ25" i="18"/>
  <c r="AA15" i="18"/>
  <c r="AQ47" i="18"/>
  <c r="AM5" i="18"/>
  <c r="R30" i="18"/>
  <c r="R24" i="18"/>
  <c r="AU27" i="18"/>
  <c r="AI5" i="18"/>
  <c r="W30" i="18"/>
  <c r="AP32" i="18"/>
  <c r="R44" i="18"/>
  <c r="N24" i="18"/>
  <c r="W9" i="18"/>
  <c r="R11" i="18"/>
  <c r="AH50" i="18"/>
  <c r="AM12" i="18"/>
  <c r="AH8" i="18"/>
  <c r="AU22" i="18"/>
  <c r="R39" i="18"/>
  <c r="Z41" i="18"/>
  <c r="AM36" i="18"/>
  <c r="AU36" i="18"/>
  <c r="AP31" i="18"/>
  <c r="AA26" i="18"/>
  <c r="AT25" i="18"/>
  <c r="R50" i="18"/>
  <c r="AU15" i="18"/>
  <c r="AA45" i="18"/>
  <c r="O27" i="18"/>
  <c r="N47" i="18"/>
  <c r="N26" i="18"/>
  <c r="AM4" i="18"/>
  <c r="Z28" i="18"/>
  <c r="AI10" i="18"/>
  <c r="Z32" i="18"/>
  <c r="AL10" i="18"/>
  <c r="AQ6" i="18"/>
  <c r="N38" i="18"/>
  <c r="AH16" i="18"/>
  <c r="AL16" i="18"/>
  <c r="V33" i="18"/>
  <c r="W33" i="18"/>
  <c r="Z44" i="18"/>
  <c r="K51" i="18"/>
  <c r="I51" i="18"/>
  <c r="W42" i="18"/>
  <c r="V42" i="18"/>
  <c r="AM39" i="18"/>
  <c r="AQ40" i="18"/>
  <c r="O3" i="18"/>
  <c r="AU3" i="18"/>
  <c r="V51" i="18"/>
  <c r="AL9" i="18"/>
  <c r="K8" i="18"/>
  <c r="I8" i="18"/>
  <c r="AT46" i="18"/>
  <c r="AU46" i="18"/>
  <c r="V44" i="18"/>
  <c r="Z33" i="18"/>
  <c r="Z51" i="18"/>
  <c r="K46" i="18"/>
  <c r="I46" i="18"/>
  <c r="K32" i="18"/>
  <c r="I32" i="18"/>
  <c r="K18" i="18"/>
  <c r="I18" i="18"/>
  <c r="K4" i="18"/>
  <c r="I4" i="18"/>
  <c r="AP4" i="18"/>
  <c r="AH4" i="18"/>
  <c r="V19" i="18"/>
  <c r="W19" i="18"/>
  <c r="V10" i="18"/>
  <c r="W10" i="18"/>
  <c r="R46" i="18"/>
  <c r="S46" i="18"/>
  <c r="AI23" i="18"/>
  <c r="O51" i="18"/>
  <c r="AP34" i="18"/>
  <c r="AL43" i="18"/>
  <c r="O44" i="18"/>
  <c r="O10" i="18"/>
  <c r="AM23" i="18"/>
  <c r="AQ50" i="18"/>
  <c r="W4" i="18"/>
  <c r="W52" i="18"/>
  <c r="O30" i="18"/>
  <c r="Z3" i="18"/>
  <c r="AP14" i="18"/>
  <c r="AP26" i="18"/>
  <c r="R13" i="18"/>
  <c r="AM30" i="18"/>
  <c r="AI51" i="18"/>
  <c r="S37" i="18"/>
  <c r="O39" i="18"/>
  <c r="O52" i="18"/>
  <c r="AT14" i="18"/>
  <c r="O14" i="18"/>
  <c r="AT20" i="18"/>
  <c r="W6" i="18"/>
  <c r="AU44" i="18"/>
  <c r="S51" i="18"/>
  <c r="O29" i="18"/>
  <c r="O15" i="18"/>
  <c r="Z52" i="18"/>
  <c r="AM45" i="18"/>
  <c r="AI9" i="18"/>
  <c r="V5" i="18"/>
  <c r="R48" i="18"/>
  <c r="K52" i="18"/>
  <c r="I52" i="18"/>
  <c r="K10" i="18"/>
  <c r="I10" i="18"/>
  <c r="K9" i="18"/>
  <c r="I9" i="18"/>
  <c r="AM47" i="18"/>
  <c r="AI47" i="18"/>
  <c r="AU47" i="18"/>
  <c r="V39" i="18"/>
  <c r="W39" i="18"/>
  <c r="K36" i="18"/>
  <c r="I36" i="18"/>
  <c r="S31" i="18"/>
  <c r="I45" i="18"/>
  <c r="K45" i="18"/>
  <c r="I31" i="18"/>
  <c r="K31" i="18"/>
  <c r="I17" i="18"/>
  <c r="K17" i="18"/>
  <c r="AL3" i="18"/>
  <c r="AP3" i="18"/>
  <c r="AH3" i="18"/>
  <c r="AM42" i="18"/>
  <c r="AI35" i="18"/>
  <c r="AU7" i="18"/>
  <c r="W16" i="18"/>
  <c r="V16" i="18"/>
  <c r="AQ33" i="18"/>
  <c r="AP33" i="18"/>
  <c r="AM46" i="18"/>
  <c r="AL46" i="18"/>
  <c r="AH23" i="18"/>
  <c r="N51" i="18"/>
  <c r="AQ34" i="18"/>
  <c r="AM43" i="18"/>
  <c r="N44" i="18"/>
  <c r="N10" i="18"/>
  <c r="AL23" i="18"/>
  <c r="V4" i="18"/>
  <c r="V52" i="18"/>
  <c r="N30" i="18"/>
  <c r="AA3" i="18"/>
  <c r="AQ14" i="18"/>
  <c r="AQ26" i="18"/>
  <c r="S13" i="18"/>
  <c r="AL30" i="18"/>
  <c r="AH51" i="18"/>
  <c r="R37" i="18"/>
  <c r="N39" i="18"/>
  <c r="Z35" i="18"/>
  <c r="N52" i="18"/>
  <c r="AU20" i="18"/>
  <c r="V6" i="18"/>
  <c r="AT44" i="18"/>
  <c r="R51" i="18"/>
  <c r="N29" i="18"/>
  <c r="N15" i="18"/>
  <c r="N7" i="18"/>
  <c r="V47" i="18"/>
  <c r="AL45" i="18"/>
  <c r="R45" i="18"/>
  <c r="AH9" i="18"/>
  <c r="W5" i="18"/>
  <c r="AT32" i="18"/>
  <c r="S48" i="18"/>
  <c r="AU33" i="18"/>
  <c r="AI3" i="18"/>
  <c r="AQ3" i="18"/>
  <c r="AM3" i="18"/>
  <c r="V34" i="18"/>
  <c r="W34" i="18"/>
  <c r="W32" i="18"/>
  <c r="V32" i="18"/>
  <c r="N46" i="18"/>
  <c r="O46" i="18"/>
  <c r="AH26" i="18"/>
  <c r="V23" i="18"/>
  <c r="AT35" i="18"/>
  <c r="Z17" i="18"/>
  <c r="S9" i="18"/>
  <c r="Z9" i="18"/>
  <c r="AU23" i="18"/>
  <c r="O33" i="18"/>
  <c r="O5" i="18"/>
  <c r="S33" i="18"/>
  <c r="Z23" i="18"/>
  <c r="AH40" i="18"/>
  <c r="Z5" i="18"/>
  <c r="AU40" i="18"/>
  <c r="S26" i="18"/>
  <c r="AH7" i="18"/>
  <c r="Z47" i="18"/>
  <c r="AI48" i="18"/>
  <c r="Z31" i="18"/>
  <c r="I44" i="18"/>
  <c r="K44" i="18"/>
  <c r="I30" i="18"/>
  <c r="K30" i="18"/>
  <c r="I16" i="18"/>
  <c r="K16" i="18"/>
  <c r="I43" i="18"/>
  <c r="K43" i="18"/>
  <c r="I29" i="18"/>
  <c r="K29" i="18"/>
  <c r="I15" i="18"/>
  <c r="K15" i="18"/>
  <c r="AM52" i="18"/>
  <c r="M49" i="18"/>
  <c r="M35" i="18"/>
  <c r="AU24" i="18"/>
  <c r="Y21" i="18"/>
  <c r="AM17" i="18"/>
  <c r="M7" i="18"/>
  <c r="W49" i="18"/>
  <c r="V49" i="18"/>
  <c r="AP15" i="18"/>
  <c r="AQ15" i="18"/>
  <c r="AI46" i="18"/>
  <c r="AH46" i="18"/>
  <c r="AI26" i="18"/>
  <c r="R17" i="18"/>
  <c r="W23" i="18"/>
  <c r="Z13" i="18"/>
  <c r="Z6" i="18"/>
  <c r="O20" i="18"/>
  <c r="AH20" i="18"/>
  <c r="AU50" i="18"/>
  <c r="O6" i="18"/>
  <c r="AA17" i="18"/>
  <c r="R9" i="18"/>
  <c r="Z48" i="18"/>
  <c r="AL51" i="18"/>
  <c r="AQ48" i="18"/>
  <c r="AT23" i="18"/>
  <c r="R35" i="18"/>
  <c r="N23" i="18"/>
  <c r="N33" i="18"/>
  <c r="R36" i="18"/>
  <c r="AQ27" i="18"/>
  <c r="R33" i="18"/>
  <c r="AA23" i="18"/>
  <c r="N37" i="18"/>
  <c r="R4" i="18"/>
  <c r="R26" i="18"/>
  <c r="AI7" i="18"/>
  <c r="AA47" i="18"/>
  <c r="R15" i="18"/>
  <c r="Y5" i="18"/>
  <c r="X23" i="18"/>
  <c r="T22" i="26" s="1"/>
  <c r="T13" i="18"/>
  <c r="Y29" i="18"/>
  <c r="AR26" i="18"/>
  <c r="U13" i="18"/>
  <c r="M42" i="18"/>
  <c r="Q31" i="18"/>
  <c r="P38" i="18"/>
  <c r="Y37" i="18"/>
  <c r="E7" i="18"/>
  <c r="T47" i="18"/>
  <c r="T41" i="18"/>
  <c r="L13" i="18"/>
  <c r="Y45" i="18"/>
  <c r="P24" i="18"/>
  <c r="M9" i="18"/>
  <c r="J31" i="31"/>
  <c r="Y13" i="18"/>
  <c r="Y28" i="18"/>
  <c r="Q14" i="18"/>
  <c r="L52" i="18"/>
  <c r="X10" i="18"/>
  <c r="Y23" i="18"/>
  <c r="P34" i="18"/>
  <c r="T6" i="18"/>
  <c r="M8" i="18"/>
  <c r="M16" i="18"/>
  <c r="M51" i="18"/>
  <c r="M37" i="18"/>
  <c r="U23" i="18"/>
  <c r="Y48" i="18"/>
  <c r="Q34" i="18"/>
  <c r="U20" i="18"/>
  <c r="X38" i="18"/>
  <c r="Q37" i="18"/>
  <c r="U10" i="18"/>
  <c r="M45" i="8"/>
  <c r="P48" i="18"/>
  <c r="P27" i="18"/>
  <c r="T44" i="18"/>
  <c r="X14" i="18"/>
  <c r="P17" i="18"/>
  <c r="Y20" i="18"/>
  <c r="K42" i="27"/>
  <c r="Y26" i="18"/>
  <c r="Y12" i="18"/>
  <c r="AS5" i="18"/>
  <c r="P28" i="18"/>
  <c r="Y34" i="18"/>
  <c r="Y44" i="18"/>
  <c r="K30" i="27"/>
  <c r="AF33" i="18"/>
  <c r="P26" i="18"/>
  <c r="X12" i="18"/>
  <c r="AR5" i="18"/>
  <c r="L42" i="18"/>
  <c r="Y41" i="18"/>
  <c r="X34" i="18"/>
  <c r="P20" i="18"/>
  <c r="K29" i="27"/>
  <c r="P3" i="18"/>
  <c r="U50" i="18"/>
  <c r="Y43" i="18"/>
  <c r="M36" i="18"/>
  <c r="M29" i="18"/>
  <c r="M22" i="18"/>
  <c r="Q15" i="18"/>
  <c r="U8" i="18"/>
  <c r="T45" i="18"/>
  <c r="K28" i="27"/>
  <c r="M3" i="18"/>
  <c r="P50" i="18"/>
  <c r="T36" i="18"/>
  <c r="T22" i="18"/>
  <c r="P8" i="18"/>
  <c r="L47" i="18"/>
  <c r="Q48" i="18"/>
  <c r="M6" i="18"/>
  <c r="L41" i="18"/>
  <c r="X13" i="18"/>
  <c r="K27" i="27"/>
  <c r="U46" i="18"/>
  <c r="M18" i="18"/>
  <c r="M34" i="18"/>
  <c r="P31" i="18"/>
  <c r="Q27" i="18"/>
  <c r="M13" i="18"/>
  <c r="L6" i="18"/>
  <c r="Y30" i="18"/>
  <c r="Y16" i="18"/>
  <c r="K16" i="27"/>
  <c r="L46" i="18"/>
  <c r="X39" i="18"/>
  <c r="L32" i="18"/>
  <c r="AR25" i="18"/>
  <c r="L18" i="18"/>
  <c r="P11" i="18"/>
  <c r="AJ4" i="18"/>
  <c r="M48" i="18"/>
  <c r="L7" i="18"/>
  <c r="T17" i="18"/>
  <c r="Q42" i="18"/>
  <c r="X52" i="18"/>
  <c r="M23" i="18"/>
  <c r="Y6" i="18"/>
  <c r="Y27" i="18"/>
  <c r="Y52" i="18"/>
  <c r="L45" i="18"/>
  <c r="L31" i="18"/>
  <c r="M31" i="18"/>
  <c r="P41" i="18"/>
  <c r="X6" i="18"/>
  <c r="X27" i="18"/>
  <c r="P10" i="18"/>
  <c r="P13" i="18"/>
  <c r="P42" i="18"/>
  <c r="M24" i="18"/>
  <c r="Q35" i="18"/>
  <c r="U31" i="18"/>
  <c r="M20" i="18"/>
  <c r="T52" i="18"/>
  <c r="Y9" i="18"/>
  <c r="M45" i="18"/>
  <c r="U6" i="18"/>
  <c r="M27" i="18"/>
  <c r="L10" i="18"/>
  <c r="L27" i="18"/>
  <c r="Q41" i="18"/>
  <c r="X48" i="18"/>
  <c r="T31" i="18"/>
  <c r="P52" i="18"/>
  <c r="U51" i="18"/>
  <c r="Q8" i="18"/>
  <c r="AS8" i="18"/>
  <c r="L3" i="18"/>
  <c r="Q29" i="18"/>
  <c r="X21" i="18"/>
  <c r="U45" i="18"/>
  <c r="L24" i="18"/>
  <c r="Q6" i="18"/>
  <c r="M10" i="18"/>
  <c r="M50" i="18"/>
  <c r="Q36" i="18"/>
  <c r="T10" i="18"/>
  <c r="AF49" i="18"/>
  <c r="P39" i="18"/>
  <c r="X26" i="18"/>
  <c r="P4" i="18"/>
  <c r="Y22" i="18"/>
  <c r="L49" i="18"/>
  <c r="U48" i="18"/>
  <c r="U22" i="18"/>
  <c r="U29" i="18"/>
  <c r="AN32" i="18"/>
  <c r="U36" i="18"/>
  <c r="Q22" i="18"/>
  <c r="U30" i="18"/>
  <c r="T48" i="18"/>
  <c r="AK20" i="18"/>
  <c r="U38" i="18"/>
  <c r="M52" i="18"/>
  <c r="P7" i="18"/>
  <c r="M41" i="18"/>
  <c r="U7" i="18"/>
  <c r="P14" i="18"/>
  <c r="Q46" i="18"/>
  <c r="Q13" i="18"/>
  <c r="X20" i="18"/>
  <c r="Q17" i="18"/>
  <c r="P35" i="18"/>
  <c r="L20" i="18"/>
  <c r="U41" i="18"/>
  <c r="U52" i="18"/>
  <c r="Y10" i="18"/>
  <c r="L48" i="18"/>
  <c r="AR51" i="18"/>
  <c r="AF51" i="18"/>
  <c r="P51" i="18"/>
  <c r="AN51" i="18"/>
  <c r="AJ51" i="18"/>
  <c r="X51" i="18"/>
  <c r="L51" i="18"/>
  <c r="T51" i="18"/>
  <c r="AN44" i="18"/>
  <c r="AJ44" i="18"/>
  <c r="AF44" i="18"/>
  <c r="AR44" i="18"/>
  <c r="P44" i="18"/>
  <c r="X44" i="18"/>
  <c r="L44" i="18"/>
  <c r="AR37" i="18"/>
  <c r="AJ37" i="18"/>
  <c r="AF37" i="18"/>
  <c r="X37" i="18"/>
  <c r="L37" i="18"/>
  <c r="P37" i="18"/>
  <c r="AN30" i="18"/>
  <c r="AF30" i="18"/>
  <c r="AJ30" i="18"/>
  <c r="AR30" i="18"/>
  <c r="T30" i="18"/>
  <c r="P30" i="18"/>
  <c r="X30" i="18"/>
  <c r="L30" i="18"/>
  <c r="AN23" i="18"/>
  <c r="AF23" i="18"/>
  <c r="AJ23" i="18"/>
  <c r="AR23" i="18"/>
  <c r="L23" i="18"/>
  <c r="T23" i="18"/>
  <c r="P23" i="18"/>
  <c r="AJ16" i="18"/>
  <c r="AN16" i="18"/>
  <c r="AF16" i="18"/>
  <c r="AR16" i="18"/>
  <c r="P16" i="18"/>
  <c r="L16" i="18"/>
  <c r="X16" i="18"/>
  <c r="AN9" i="18"/>
  <c r="AR9" i="18"/>
  <c r="AJ9" i="18"/>
  <c r="AF9" i="18"/>
  <c r="P9" i="18"/>
  <c r="T9" i="18"/>
  <c r="L9" i="18"/>
  <c r="AK47" i="18"/>
  <c r="AS47" i="18"/>
  <c r="AO47" i="18"/>
  <c r="AG47" i="18"/>
  <c r="M47" i="18"/>
  <c r="Q47" i="18"/>
  <c r="Y47" i="18"/>
  <c r="AO40" i="18"/>
  <c r="AG40" i="18"/>
  <c r="AS40" i="18"/>
  <c r="Y40" i="18"/>
  <c r="AK40" i="18"/>
  <c r="M40" i="18"/>
  <c r="Q40" i="18"/>
  <c r="AS33" i="18"/>
  <c r="AK33" i="18"/>
  <c r="M33" i="18"/>
  <c r="Y33" i="18"/>
  <c r="Q33" i="18"/>
  <c r="AG26" i="18"/>
  <c r="AO26" i="18"/>
  <c r="AK26" i="18"/>
  <c r="AS26" i="18"/>
  <c r="Q26" i="18"/>
  <c r="M26" i="18"/>
  <c r="AK19" i="18"/>
  <c r="AO19" i="18"/>
  <c r="AG19" i="18"/>
  <c r="AS19" i="18"/>
  <c r="Y19" i="18"/>
  <c r="Q19" i="18"/>
  <c r="AO12" i="18"/>
  <c r="AK12" i="18"/>
  <c r="AG12" i="18"/>
  <c r="AS12" i="18"/>
  <c r="M12" i="18"/>
  <c r="AG5" i="18"/>
  <c r="AO5" i="18"/>
  <c r="AK5" i="18"/>
  <c r="U5" i="18"/>
  <c r="M5" i="18"/>
  <c r="Q5" i="18"/>
  <c r="P32" i="18"/>
  <c r="M19" i="18"/>
  <c r="Y7" i="18"/>
  <c r="Q12" i="18"/>
  <c r="AG3" i="18"/>
  <c r="AK3" i="18"/>
  <c r="AS3" i="18"/>
  <c r="AO3" i="18"/>
  <c r="Q3" i="18"/>
  <c r="AF50" i="18"/>
  <c r="AR50" i="18"/>
  <c r="AJ50" i="18"/>
  <c r="AN50" i="18"/>
  <c r="X50" i="18"/>
  <c r="AJ43" i="18"/>
  <c r="AN43" i="18"/>
  <c r="AF43" i="18"/>
  <c r="AR43" i="18"/>
  <c r="L43" i="18"/>
  <c r="P43" i="18"/>
  <c r="AN36" i="18"/>
  <c r="AR36" i="18"/>
  <c r="AF36" i="18"/>
  <c r="AJ36" i="18"/>
  <c r="X36" i="18"/>
  <c r="L36" i="18"/>
  <c r="AJ29" i="18"/>
  <c r="AF29" i="18"/>
  <c r="AN29" i="18"/>
  <c r="AR29" i="18"/>
  <c r="T29" i="18"/>
  <c r="X29" i="18"/>
  <c r="P29" i="18"/>
  <c r="AJ22" i="18"/>
  <c r="AN22" i="18"/>
  <c r="AR22" i="18"/>
  <c r="AF22" i="18"/>
  <c r="L22" i="18"/>
  <c r="X22" i="18"/>
  <c r="AF15" i="18"/>
  <c r="AJ15" i="18"/>
  <c r="AR15" i="18"/>
  <c r="L15" i="18"/>
  <c r="X15" i="18"/>
  <c r="P15" i="18"/>
  <c r="AJ8" i="18"/>
  <c r="AF8" i="18"/>
  <c r="AN8" i="18"/>
  <c r="T8" i="18"/>
  <c r="X8" i="18"/>
  <c r="AR8" i="18"/>
  <c r="L8" i="18"/>
  <c r="AK46" i="18"/>
  <c r="AG46" i="18"/>
  <c r="Y46" i="18"/>
  <c r="AS46" i="18"/>
  <c r="M46" i="18"/>
  <c r="AK39" i="18"/>
  <c r="AS39" i="18"/>
  <c r="AG39" i="18"/>
  <c r="M39" i="18"/>
  <c r="Y39" i="18"/>
  <c r="Q39" i="18"/>
  <c r="AK32" i="18"/>
  <c r="AS32" i="18"/>
  <c r="Y32" i="18"/>
  <c r="M32" i="18"/>
  <c r="AO32" i="18"/>
  <c r="Q32" i="18"/>
  <c r="AG32" i="18"/>
  <c r="AO25" i="18"/>
  <c r="AK25" i="18"/>
  <c r="AG25" i="18"/>
  <c r="Q25" i="18"/>
  <c r="AS25" i="18"/>
  <c r="M25" i="18"/>
  <c r="AG18" i="18"/>
  <c r="AK18" i="18"/>
  <c r="AS18" i="18"/>
  <c r="AO18" i="18"/>
  <c r="Q18" i="18"/>
  <c r="Y18" i="18"/>
  <c r="U18" i="18"/>
  <c r="AO11" i="18"/>
  <c r="AS11" i="18"/>
  <c r="AG11" i="18"/>
  <c r="AK11" i="18"/>
  <c r="M11" i="18"/>
  <c r="Q11" i="18"/>
  <c r="Y11" i="18"/>
  <c r="AG4" i="18"/>
  <c r="AS4" i="18"/>
  <c r="AO4" i="18"/>
  <c r="Q4" i="18"/>
  <c r="Y4" i="18"/>
  <c r="M4" i="18"/>
  <c r="AK4" i="18"/>
  <c r="AJ46" i="18"/>
  <c r="AF46" i="18"/>
  <c r="AR46" i="18"/>
  <c r="X46" i="18"/>
  <c r="P46" i="18"/>
  <c r="AF39" i="18"/>
  <c r="AR39" i="18"/>
  <c r="AJ39" i="18"/>
  <c r="L39" i="18"/>
  <c r="AR32" i="18"/>
  <c r="AJ32" i="18"/>
  <c r="AF32" i="18"/>
  <c r="AN25" i="18"/>
  <c r="AF25" i="18"/>
  <c r="AJ25" i="18"/>
  <c r="L25" i="18"/>
  <c r="P25" i="18"/>
  <c r="AF18" i="18"/>
  <c r="AJ18" i="18"/>
  <c r="AR18" i="18"/>
  <c r="AN18" i="18"/>
  <c r="X18" i="18"/>
  <c r="T18" i="18"/>
  <c r="P18" i="18"/>
  <c r="AN11" i="18"/>
  <c r="AF11" i="18"/>
  <c r="AR11" i="18"/>
  <c r="AJ11" i="18"/>
  <c r="L11" i="18"/>
  <c r="X11" i="18"/>
  <c r="AF4" i="18"/>
  <c r="AR4" i="18"/>
  <c r="AN4" i="18"/>
  <c r="X4" i="18"/>
  <c r="T4" i="18"/>
  <c r="P22" i="18"/>
  <c r="U4" i="18"/>
  <c r="AK49" i="18"/>
  <c r="AO49" i="18"/>
  <c r="Q49" i="18"/>
  <c r="Y49" i="18"/>
  <c r="AS49" i="18"/>
  <c r="AG49" i="18"/>
  <c r="AG42" i="18"/>
  <c r="AS42" i="18"/>
  <c r="AK42" i="18"/>
  <c r="Y42" i="18"/>
  <c r="AO42" i="18"/>
  <c r="AS35" i="18"/>
  <c r="AO35" i="18"/>
  <c r="AG35" i="18"/>
  <c r="Y35" i="18"/>
  <c r="U35" i="18"/>
  <c r="AK35" i="18"/>
  <c r="AK28" i="18"/>
  <c r="AG28" i="18"/>
  <c r="AO28" i="18"/>
  <c r="AS28" i="18"/>
  <c r="U28" i="18"/>
  <c r="M28" i="18"/>
  <c r="Q28" i="18"/>
  <c r="AK21" i="18"/>
  <c r="AG21" i="18"/>
  <c r="Q21" i="18"/>
  <c r="AS21" i="18"/>
  <c r="AO21" i="18"/>
  <c r="M21" i="18"/>
  <c r="AG14" i="18"/>
  <c r="AS14" i="18"/>
  <c r="AO14" i="18"/>
  <c r="AK14" i="18"/>
  <c r="M14" i="18"/>
  <c r="AK7" i="18"/>
  <c r="AS7" i="18"/>
  <c r="AG7" i="18"/>
  <c r="AO7" i="18"/>
  <c r="Q7" i="18"/>
  <c r="T50" i="18"/>
  <c r="T46" i="18"/>
  <c r="T32" i="18"/>
  <c r="X32" i="18"/>
  <c r="L29" i="18"/>
  <c r="Y3" i="18"/>
  <c r="L50" i="18"/>
  <c r="X25" i="18"/>
  <c r="L4" i="18"/>
  <c r="AG33" i="18"/>
  <c r="U3" i="18"/>
  <c r="Y25" i="18"/>
  <c r="Y14" i="18"/>
  <c r="U47" i="18"/>
  <c r="P36" i="18"/>
  <c r="X43" i="18"/>
  <c r="X9" i="18"/>
  <c r="AJ47" i="18"/>
  <c r="AN47" i="18"/>
  <c r="AR47" i="18"/>
  <c r="AF47" i="18"/>
  <c r="AN40" i="18"/>
  <c r="AR40" i="18"/>
  <c r="AF40" i="18"/>
  <c r="AJ33" i="18"/>
  <c r="AR33" i="18"/>
  <c r="AF26" i="18"/>
  <c r="AN26" i="18"/>
  <c r="AJ26" i="18"/>
  <c r="AJ19" i="18"/>
  <c r="AF19" i="18"/>
  <c r="AN19" i="18"/>
  <c r="AR19" i="18"/>
  <c r="AJ12" i="18"/>
  <c r="AF12" i="18"/>
  <c r="AR12" i="18"/>
  <c r="AN12" i="18"/>
  <c r="AN5" i="18"/>
  <c r="AJ5" i="18"/>
  <c r="AF5" i="18"/>
  <c r="X47" i="18"/>
  <c r="X5" i="18"/>
  <c r="P40" i="18"/>
  <c r="L19" i="18"/>
  <c r="X28" i="18"/>
  <c r="AR49" i="18"/>
  <c r="AJ3" i="18"/>
  <c r="AF3" i="18"/>
  <c r="AR3" i="18"/>
  <c r="AN3" i="18"/>
  <c r="AG50" i="18"/>
  <c r="AS50" i="18"/>
  <c r="AK50" i="18"/>
  <c r="AO50" i="18"/>
  <c r="AG43" i="18"/>
  <c r="AK43" i="18"/>
  <c r="AO43" i="18"/>
  <c r="AS43" i="18"/>
  <c r="AO36" i="18"/>
  <c r="AG36" i="18"/>
  <c r="AS36" i="18"/>
  <c r="AK36" i="18"/>
  <c r="AK29" i="18"/>
  <c r="AO29" i="18"/>
  <c r="AG29" i="18"/>
  <c r="AS29" i="18"/>
  <c r="AO22" i="18"/>
  <c r="AK22" i="18"/>
  <c r="AG22" i="18"/>
  <c r="AS22" i="18"/>
  <c r="AG15" i="18"/>
  <c r="AK15" i="18"/>
  <c r="AS15" i="18"/>
  <c r="Y15" i="18"/>
  <c r="AO8" i="18"/>
  <c r="AK8" i="18"/>
  <c r="AG8" i="18"/>
  <c r="X3" i="18"/>
  <c r="M30" i="18"/>
  <c r="U44" i="18"/>
  <c r="Q23" i="18"/>
  <c r="T20" i="18"/>
  <c r="L35" i="18"/>
  <c r="U17" i="18"/>
  <c r="P5" i="18"/>
  <c r="AJ20" i="18"/>
  <c r="U32" i="18"/>
  <c r="AO24" i="18"/>
  <c r="AK24" i="18"/>
  <c r="AG24" i="18"/>
  <c r="AS24" i="18"/>
  <c r="M17" i="18"/>
  <c r="L12" i="18"/>
  <c r="AF52" i="18"/>
  <c r="AN52" i="18"/>
  <c r="AJ52" i="18"/>
  <c r="AR52" i="18"/>
  <c r="AF45" i="18"/>
  <c r="AJ45" i="18"/>
  <c r="AR45" i="18"/>
  <c r="AN45" i="18"/>
  <c r="AR38" i="18"/>
  <c r="AF38" i="18"/>
  <c r="AJ38" i="18"/>
  <c r="AF31" i="18"/>
  <c r="AN31" i="18"/>
  <c r="AR31" i="18"/>
  <c r="AJ31" i="18"/>
  <c r="X31" i="18"/>
  <c r="AF24" i="18"/>
  <c r="AR24" i="18"/>
  <c r="AJ24" i="18"/>
  <c r="AN24" i="18"/>
  <c r="AF17" i="18"/>
  <c r="AN17" i="18"/>
  <c r="AR17" i="18"/>
  <c r="AJ17" i="18"/>
  <c r="AF10" i="18"/>
  <c r="AJ10" i="18"/>
  <c r="AR10" i="18"/>
  <c r="AN10" i="18"/>
  <c r="L17" i="18"/>
  <c r="U9" i="18"/>
  <c r="M44" i="18"/>
  <c r="P33" i="18"/>
  <c r="X40" i="18"/>
  <c r="Y36" i="18"/>
  <c r="M43" i="18"/>
  <c r="X33" i="18"/>
  <c r="AJ35" i="18"/>
  <c r="X45" i="18"/>
  <c r="AK10" i="18"/>
  <c r="AO10" i="18"/>
  <c r="AS10" i="18"/>
  <c r="AG10" i="18"/>
  <c r="AK48" i="18"/>
  <c r="AO48" i="18"/>
  <c r="AS48" i="18"/>
  <c r="AG48" i="18"/>
  <c r="AS41" i="18"/>
  <c r="AO41" i="18"/>
  <c r="AK41" i="18"/>
  <c r="AG41" i="18"/>
  <c r="AO34" i="18"/>
  <c r="AS34" i="18"/>
  <c r="AG34" i="18"/>
  <c r="AK34" i="18"/>
  <c r="AK27" i="18"/>
  <c r="AS27" i="18"/>
  <c r="AO27" i="18"/>
  <c r="AG27" i="18"/>
  <c r="AS20" i="18"/>
  <c r="AO20" i="18"/>
  <c r="AG20" i="18"/>
  <c r="AK13" i="18"/>
  <c r="AO13" i="18"/>
  <c r="AS13" i="18"/>
  <c r="AG13" i="18"/>
  <c r="AG6" i="18"/>
  <c r="AK6" i="18"/>
  <c r="AS6" i="18"/>
  <c r="AO6" i="18"/>
  <c r="T38" i="18"/>
  <c r="M15" i="18"/>
  <c r="Q16" i="18"/>
  <c r="X17" i="18"/>
  <c r="P47" i="18"/>
  <c r="U24" i="18"/>
  <c r="L26" i="18"/>
  <c r="Q50" i="18"/>
  <c r="AJ49" i="18"/>
  <c r="P49" i="18"/>
  <c r="AN49" i="18"/>
  <c r="AJ42" i="18"/>
  <c r="AR42" i="18"/>
  <c r="AF42" i="18"/>
  <c r="T35" i="18"/>
  <c r="AR35" i="18"/>
  <c r="AN35" i="18"/>
  <c r="AF35" i="18"/>
  <c r="AF28" i="18"/>
  <c r="AN28" i="18"/>
  <c r="AJ28" i="18"/>
  <c r="AR28" i="18"/>
  <c r="AJ21" i="18"/>
  <c r="AF21" i="18"/>
  <c r="AR21" i="18"/>
  <c r="AN21" i="18"/>
  <c r="P21" i="18"/>
  <c r="AF14" i="18"/>
  <c r="AJ14" i="18"/>
  <c r="AN14" i="18"/>
  <c r="AR14" i="18"/>
  <c r="AN7" i="18"/>
  <c r="AJ7" i="18"/>
  <c r="AR7" i="18"/>
  <c r="AF7" i="18"/>
  <c r="L5" i="18"/>
  <c r="X19" i="18"/>
  <c r="AO52" i="18"/>
  <c r="AK52" i="18"/>
  <c r="AS52" i="18"/>
  <c r="AG52" i="18"/>
  <c r="AK45" i="18"/>
  <c r="AS45" i="18"/>
  <c r="AG45" i="18"/>
  <c r="AO45" i="18"/>
  <c r="AS38" i="18"/>
  <c r="AK38" i="18"/>
  <c r="AG38" i="18"/>
  <c r="AO31" i="18"/>
  <c r="AS31" i="18"/>
  <c r="AG31" i="18"/>
  <c r="AK31" i="18"/>
  <c r="Y31" i="18"/>
  <c r="AO17" i="18"/>
  <c r="AS17" i="18"/>
  <c r="AK17" i="18"/>
  <c r="AG17" i="18"/>
  <c r="Q10" i="18"/>
  <c r="Q38" i="18"/>
  <c r="L28" i="18"/>
  <c r="L14" i="18"/>
  <c r="AJ40" i="18"/>
  <c r="AJ48" i="18"/>
  <c r="AN48" i="18"/>
  <c r="AR48" i="18"/>
  <c r="AF48" i="18"/>
  <c r="AR41" i="18"/>
  <c r="AJ41" i="18"/>
  <c r="AF41" i="18"/>
  <c r="AN41" i="18"/>
  <c r="AF34" i="18"/>
  <c r="AJ34" i="18"/>
  <c r="AN34" i="18"/>
  <c r="AR34" i="18"/>
  <c r="AJ27" i="18"/>
  <c r="AN27" i="18"/>
  <c r="AR27" i="18"/>
  <c r="AF27" i="18"/>
  <c r="AF20" i="18"/>
  <c r="AN20" i="18"/>
  <c r="AR20" i="18"/>
  <c r="AR13" i="18"/>
  <c r="AF13" i="18"/>
  <c r="AJ13" i="18"/>
  <c r="AN13" i="18"/>
  <c r="AF6" i="18"/>
  <c r="AN6" i="18"/>
  <c r="AR6" i="18"/>
  <c r="AJ6" i="18"/>
  <c r="L34" i="18"/>
  <c r="X24" i="18"/>
  <c r="T3" i="18"/>
  <c r="P6" i="18"/>
  <c r="Q43" i="18"/>
  <c r="X41" i="18"/>
  <c r="T28" i="18"/>
  <c r="Q20" i="18"/>
  <c r="P45" i="18"/>
  <c r="P19" i="18"/>
  <c r="M38" i="18"/>
  <c r="Y50" i="18"/>
  <c r="Y8" i="18"/>
  <c r="T24" i="18"/>
  <c r="L40" i="18"/>
  <c r="P12" i="18"/>
  <c r="AN42" i="18"/>
  <c r="AG51" i="18"/>
  <c r="AO51" i="18"/>
  <c r="AS51" i="18"/>
  <c r="Q51" i="18"/>
  <c r="AK51" i="18"/>
  <c r="AG44" i="18"/>
  <c r="AO44" i="18"/>
  <c r="AK44" i="18"/>
  <c r="AS44" i="18"/>
  <c r="AK37" i="18"/>
  <c r="AG37" i="18"/>
  <c r="AS37" i="18"/>
  <c r="AO30" i="18"/>
  <c r="AG30" i="18"/>
  <c r="AK30" i="18"/>
  <c r="AS30" i="18"/>
  <c r="AO23" i="18"/>
  <c r="AS23" i="18"/>
  <c r="AG23" i="18"/>
  <c r="AK23" i="18"/>
  <c r="AO16" i="18"/>
  <c r="AG16" i="18"/>
  <c r="AK16" i="18"/>
  <c r="AS16" i="18"/>
  <c r="AS9" i="18"/>
  <c r="AK9" i="18"/>
  <c r="AG9" i="18"/>
  <c r="AO9" i="18"/>
  <c r="Y24" i="18"/>
  <c r="X42" i="18"/>
  <c r="Q45" i="18"/>
  <c r="T5" i="18"/>
  <c r="L33" i="18"/>
  <c r="Q44" i="18"/>
  <c r="X7" i="18"/>
  <c r="Q30" i="18"/>
  <c r="AN37" i="18"/>
  <c r="AO37" i="18"/>
  <c r="AN15" i="18"/>
  <c r="AO15" i="18"/>
  <c r="AN33" i="18"/>
  <c r="AO33" i="18"/>
  <c r="AO38" i="18"/>
  <c r="AN38" i="18"/>
  <c r="AO39" i="18"/>
  <c r="AN39" i="18"/>
  <c r="U34" i="18"/>
  <c r="T34" i="18"/>
  <c r="U15" i="18"/>
  <c r="T15" i="18"/>
  <c r="U16" i="18"/>
  <c r="T16" i="18"/>
  <c r="E3" i="18"/>
  <c r="G3" i="18"/>
  <c r="T14" i="18"/>
  <c r="U14" i="18"/>
  <c r="T49" i="18"/>
  <c r="U49" i="18"/>
  <c r="T11" i="18"/>
  <c r="U11" i="18"/>
  <c r="T37" i="18"/>
  <c r="U37" i="18"/>
  <c r="U42" i="18"/>
  <c r="T42" i="18"/>
  <c r="T43" i="18"/>
  <c r="U43" i="18"/>
  <c r="U12" i="18"/>
  <c r="T12" i="18"/>
  <c r="T27" i="18"/>
  <c r="U27" i="18"/>
  <c r="T19" i="18"/>
  <c r="U19" i="18"/>
  <c r="T25" i="18"/>
  <c r="U25" i="18"/>
  <c r="U21" i="18"/>
  <c r="T21" i="18"/>
  <c r="T33" i="18"/>
  <c r="U33" i="18"/>
  <c r="T26" i="18"/>
  <c r="U26" i="18"/>
  <c r="T39" i="18"/>
  <c r="U39" i="18"/>
  <c r="T40" i="18"/>
  <c r="U40" i="18"/>
  <c r="V6" i="24"/>
  <c r="V48" i="24"/>
  <c r="V45" i="24"/>
  <c r="V34" i="24"/>
  <c r="V31" i="24"/>
  <c r="V27" i="24"/>
  <c r="N50" i="24"/>
  <c r="N24" i="24"/>
  <c r="N21" i="24"/>
  <c r="V20" i="24"/>
  <c r="V52" i="24"/>
  <c r="S10" i="24"/>
  <c r="E48" i="18"/>
  <c r="E34" i="18"/>
  <c r="E20" i="18"/>
  <c r="S35" i="24"/>
  <c r="G47" i="18"/>
  <c r="F31" i="31"/>
  <c r="S52" i="24"/>
  <c r="S21" i="24"/>
  <c r="N49" i="24"/>
  <c r="S45" i="24"/>
  <c r="S17" i="24"/>
  <c r="S49" i="24"/>
  <c r="G37" i="18"/>
  <c r="G9" i="18"/>
  <c r="S42" i="24"/>
  <c r="N23" i="24"/>
  <c r="CG22" i="26" s="1"/>
  <c r="S38" i="24"/>
  <c r="S28" i="24"/>
  <c r="V17" i="24"/>
  <c r="V13" i="24"/>
  <c r="N45" i="24"/>
  <c r="N17" i="24"/>
  <c r="F35" i="31"/>
  <c r="N3" i="24"/>
  <c r="N44" i="24"/>
  <c r="N16" i="24"/>
  <c r="P48" i="24"/>
  <c r="S31" i="24"/>
  <c r="S14" i="24"/>
  <c r="N37" i="24"/>
  <c r="N9" i="24"/>
  <c r="N47" i="24"/>
  <c r="N38" i="24"/>
  <c r="N10" i="24"/>
  <c r="N36" i="24"/>
  <c r="N8" i="24"/>
  <c r="P45" i="24"/>
  <c r="P28" i="24"/>
  <c r="V10" i="24"/>
  <c r="N33" i="24"/>
  <c r="N5" i="24"/>
  <c r="P42" i="24"/>
  <c r="V24" i="24"/>
  <c r="P10" i="24"/>
  <c r="N19" i="24"/>
  <c r="N35" i="24"/>
  <c r="N7" i="24"/>
  <c r="N31" i="24"/>
  <c r="V41" i="24"/>
  <c r="S24" i="24"/>
  <c r="S7" i="24"/>
  <c r="N30" i="24"/>
  <c r="V38" i="24"/>
  <c r="P24" i="24"/>
  <c r="P7" i="24"/>
  <c r="N39" i="24"/>
  <c r="N25" i="24"/>
  <c r="N11" i="24"/>
  <c r="S3" i="24"/>
  <c r="P46" i="24"/>
  <c r="P39" i="24"/>
  <c r="P32" i="24"/>
  <c r="P25" i="24"/>
  <c r="P18" i="24"/>
  <c r="P11" i="24"/>
  <c r="P4" i="24"/>
  <c r="F43" i="31"/>
  <c r="N48" i="24"/>
  <c r="N34" i="24"/>
  <c r="N20" i="24"/>
  <c r="N6" i="24"/>
  <c r="V51" i="24"/>
  <c r="S48" i="24"/>
  <c r="V44" i="24"/>
  <c r="S41" i="24"/>
  <c r="V37" i="24"/>
  <c r="S34" i="24"/>
  <c r="V30" i="24"/>
  <c r="S27" i="24"/>
  <c r="V23" i="24"/>
  <c r="S20" i="24"/>
  <c r="V16" i="24"/>
  <c r="S13" i="24"/>
  <c r="V9" i="24"/>
  <c r="S6" i="24"/>
  <c r="F39" i="31"/>
  <c r="P41" i="24"/>
  <c r="P34" i="24"/>
  <c r="P27" i="24"/>
  <c r="P20" i="24"/>
  <c r="P13" i="24"/>
  <c r="P6" i="24"/>
  <c r="N46" i="24"/>
  <c r="N32" i="24"/>
  <c r="N18" i="24"/>
  <c r="N4" i="24"/>
  <c r="S51" i="24"/>
  <c r="V47" i="24"/>
  <c r="S44" i="24"/>
  <c r="V40" i="24"/>
  <c r="S37" i="24"/>
  <c r="V33" i="24"/>
  <c r="S30" i="24"/>
  <c r="V26" i="24"/>
  <c r="S23" i="24"/>
  <c r="CJ22" i="26" s="1"/>
  <c r="V19" i="24"/>
  <c r="S16" i="24"/>
  <c r="V12" i="24"/>
  <c r="S9" i="24"/>
  <c r="V5" i="24"/>
  <c r="P51" i="24"/>
  <c r="P44" i="24"/>
  <c r="P37" i="24"/>
  <c r="P30" i="24"/>
  <c r="P23" i="24"/>
  <c r="P16" i="24"/>
  <c r="P9" i="24"/>
  <c r="V50" i="24"/>
  <c r="S47" i="24"/>
  <c r="V43" i="24"/>
  <c r="S40" i="24"/>
  <c r="V36" i="24"/>
  <c r="S33" i="24"/>
  <c r="V29" i="24"/>
  <c r="S26" i="24"/>
  <c r="V22" i="24"/>
  <c r="S19" i="24"/>
  <c r="V15" i="24"/>
  <c r="S12" i="24"/>
  <c r="V8" i="24"/>
  <c r="S5" i="24"/>
  <c r="N43" i="24"/>
  <c r="N29" i="24"/>
  <c r="N15" i="24"/>
  <c r="T2" i="24"/>
  <c r="P47" i="24"/>
  <c r="P40" i="24"/>
  <c r="P33" i="24"/>
  <c r="P26" i="24"/>
  <c r="P19" i="24"/>
  <c r="P12" i="24"/>
  <c r="P5" i="24"/>
  <c r="N42" i="24"/>
  <c r="N28" i="24"/>
  <c r="N14" i="24"/>
  <c r="P3" i="24"/>
  <c r="S50" i="24"/>
  <c r="V46" i="24"/>
  <c r="S43" i="24"/>
  <c r="V39" i="24"/>
  <c r="S36" i="24"/>
  <c r="V32" i="24"/>
  <c r="S29" i="24"/>
  <c r="V25" i="24"/>
  <c r="S22" i="24"/>
  <c r="V18" i="24"/>
  <c r="S15" i="24"/>
  <c r="V11" i="24"/>
  <c r="S8" i="24"/>
  <c r="V4" i="24"/>
  <c r="N41" i="24"/>
  <c r="N27" i="24"/>
  <c r="N13" i="24"/>
  <c r="V3" i="24"/>
  <c r="F89" i="31" s="1"/>
  <c r="P50" i="24"/>
  <c r="P43" i="24"/>
  <c r="P36" i="24"/>
  <c r="P29" i="24"/>
  <c r="P22" i="24"/>
  <c r="P15" i="24"/>
  <c r="P8" i="24"/>
  <c r="G46" i="18"/>
  <c r="N40" i="24"/>
  <c r="N26" i="24"/>
  <c r="V49" i="24"/>
  <c r="S46" i="24"/>
  <c r="V42" i="24"/>
  <c r="S39" i="24"/>
  <c r="V35" i="24"/>
  <c r="S32" i="24"/>
  <c r="V28" i="24"/>
  <c r="S25" i="24"/>
  <c r="V21" i="24"/>
  <c r="S18" i="24"/>
  <c r="V14" i="24"/>
  <c r="S11" i="24"/>
  <c r="V52" i="27"/>
  <c r="T50" i="27"/>
  <c r="V45" i="27"/>
  <c r="T43" i="27"/>
  <c r="V38" i="27"/>
  <c r="T36" i="27"/>
  <c r="V31" i="27"/>
  <c r="T29" i="27"/>
  <c r="V24" i="27"/>
  <c r="T22" i="27"/>
  <c r="V17" i="27"/>
  <c r="T15" i="27"/>
  <c r="V10" i="27"/>
  <c r="T8" i="27"/>
  <c r="X51" i="27"/>
  <c r="V49" i="27"/>
  <c r="T47" i="27"/>
  <c r="X44" i="27"/>
  <c r="V42" i="27"/>
  <c r="T40" i="27"/>
  <c r="X37" i="27"/>
  <c r="V35" i="27"/>
  <c r="T33" i="27"/>
  <c r="X30" i="27"/>
  <c r="V28" i="27"/>
  <c r="T26" i="27"/>
  <c r="X23" i="27"/>
  <c r="V21" i="27"/>
  <c r="T19" i="27"/>
  <c r="X16" i="27"/>
  <c r="V14" i="27"/>
  <c r="T12" i="27"/>
  <c r="X9" i="27"/>
  <c r="V7" i="27"/>
  <c r="T5" i="27"/>
  <c r="V47" i="27"/>
  <c r="V26" i="27"/>
  <c r="V19" i="27"/>
  <c r="V12" i="27"/>
  <c r="V5" i="27"/>
  <c r="W49" i="27"/>
  <c r="U19" i="27"/>
  <c r="W30" i="27"/>
  <c r="S19" i="27"/>
  <c r="W9" i="27"/>
  <c r="S3" i="27"/>
  <c r="V51" i="27"/>
  <c r="T49" i="27"/>
  <c r="X46" i="27"/>
  <c r="V44" i="27"/>
  <c r="T42" i="27"/>
  <c r="X39" i="27"/>
  <c r="V37" i="27"/>
  <c r="T35" i="27"/>
  <c r="X32" i="27"/>
  <c r="V30" i="27"/>
  <c r="T28" i="27"/>
  <c r="X25" i="27"/>
  <c r="V23" i="27"/>
  <c r="T21" i="27"/>
  <c r="X18" i="27"/>
  <c r="V16" i="27"/>
  <c r="T14" i="27"/>
  <c r="X11" i="27"/>
  <c r="V9" i="27"/>
  <c r="T7" i="27"/>
  <c r="X4" i="27"/>
  <c r="U38" i="27"/>
  <c r="U33" i="27"/>
  <c r="W28" i="27"/>
  <c r="U42" i="27"/>
  <c r="U35" i="27"/>
  <c r="U28" i="27"/>
  <c r="W23" i="27"/>
  <c r="W16" i="27"/>
  <c r="U14" i="27"/>
  <c r="U7" i="27"/>
  <c r="K13" i="27"/>
  <c r="X3" i="27"/>
  <c r="U51" i="27"/>
  <c r="S49" i="27"/>
  <c r="W46" i="27"/>
  <c r="U44" i="27"/>
  <c r="S42" i="27"/>
  <c r="W39" i="27"/>
  <c r="U37" i="27"/>
  <c r="S35" i="27"/>
  <c r="W32" i="27"/>
  <c r="U30" i="27"/>
  <c r="S28" i="27"/>
  <c r="W25" i="27"/>
  <c r="U23" i="27"/>
  <c r="S21" i="27"/>
  <c r="W18" i="27"/>
  <c r="U16" i="27"/>
  <c r="S14" i="27"/>
  <c r="W11" i="27"/>
  <c r="U9" i="27"/>
  <c r="S7" i="27"/>
  <c r="W4" i="27"/>
  <c r="U52" i="27"/>
  <c r="U45" i="27"/>
  <c r="U24" i="27"/>
  <c r="U17" i="27"/>
  <c r="U10" i="27"/>
  <c r="U40" i="27"/>
  <c r="W35" i="27"/>
  <c r="U26" i="27"/>
  <c r="W21" i="27"/>
  <c r="U12" i="27"/>
  <c r="W7" i="27"/>
  <c r="U5" i="27"/>
  <c r="W51" i="27"/>
  <c r="W37" i="27"/>
  <c r="S33" i="27"/>
  <c r="S26" i="27"/>
  <c r="U21" i="27"/>
  <c r="S12" i="27"/>
  <c r="S5" i="27"/>
  <c r="W3" i="27"/>
  <c r="T51" i="27"/>
  <c r="V46" i="27"/>
  <c r="T44" i="27"/>
  <c r="V39" i="27"/>
  <c r="T37" i="27"/>
  <c r="V32" i="27"/>
  <c r="T30" i="27"/>
  <c r="V25" i="27"/>
  <c r="T23" i="27"/>
  <c r="V18" i="27"/>
  <c r="T9" i="27"/>
  <c r="V4" i="27"/>
  <c r="V3" i="27"/>
  <c r="S51" i="27"/>
  <c r="W48" i="27"/>
  <c r="U46" i="27"/>
  <c r="S44" i="27"/>
  <c r="W41" i="27"/>
  <c r="U39" i="27"/>
  <c r="S37" i="27"/>
  <c r="W34" i="27"/>
  <c r="U32" i="27"/>
  <c r="S30" i="27"/>
  <c r="W27" i="27"/>
  <c r="U25" i="27"/>
  <c r="S23" i="27"/>
  <c r="W20" i="27"/>
  <c r="U18" i="27"/>
  <c r="S16" i="27"/>
  <c r="W13" i="27"/>
  <c r="U11" i="27"/>
  <c r="S9" i="27"/>
  <c r="W6" i="27"/>
  <c r="U4" i="27"/>
  <c r="K44" i="27"/>
  <c r="U3" i="27"/>
  <c r="X50" i="27"/>
  <c r="V48" i="27"/>
  <c r="T46" i="27"/>
  <c r="X43" i="27"/>
  <c r="V41" i="27"/>
  <c r="T39" i="27"/>
  <c r="X36" i="27"/>
  <c r="V34" i="27"/>
  <c r="T32" i="27"/>
  <c r="X29" i="27"/>
  <c r="V27" i="27"/>
  <c r="T25" i="27"/>
  <c r="X22" i="27"/>
  <c r="V20" i="27"/>
  <c r="T18" i="27"/>
  <c r="X15" i="27"/>
  <c r="V13" i="27"/>
  <c r="T11" i="27"/>
  <c r="X8" i="27"/>
  <c r="V6" i="27"/>
  <c r="T4" i="27"/>
  <c r="U49" i="27"/>
  <c r="K43" i="27"/>
  <c r="T3" i="27"/>
  <c r="W50" i="27"/>
  <c r="U48" i="27"/>
  <c r="S46" i="27"/>
  <c r="W43" i="27"/>
  <c r="U41" i="27"/>
  <c r="S39" i="27"/>
  <c r="W36" i="27"/>
  <c r="U34" i="27"/>
  <c r="S32" i="27"/>
  <c r="W29" i="27"/>
  <c r="U27" i="27"/>
  <c r="S25" i="27"/>
  <c r="W22" i="27"/>
  <c r="U20" i="27"/>
  <c r="S18" i="27"/>
  <c r="W15" i="27"/>
  <c r="U13" i="27"/>
  <c r="S11" i="27"/>
  <c r="W8" i="27"/>
  <c r="U6" i="27"/>
  <c r="S4" i="27"/>
  <c r="U47" i="27"/>
  <c r="T16" i="27"/>
  <c r="X52" i="27"/>
  <c r="V50" i="27"/>
  <c r="T48" i="27"/>
  <c r="X45" i="27"/>
  <c r="V43" i="27"/>
  <c r="T41" i="27"/>
  <c r="X38" i="27"/>
  <c r="V36" i="27"/>
  <c r="T34" i="27"/>
  <c r="X31" i="27"/>
  <c r="V29" i="27"/>
  <c r="T27" i="27"/>
  <c r="X24" i="27"/>
  <c r="V22" i="27"/>
  <c r="T20" i="27"/>
  <c r="X17" i="27"/>
  <c r="V15" i="27"/>
  <c r="T13" i="27"/>
  <c r="V8" i="27"/>
  <c r="Q3" i="35"/>
  <c r="W44" i="27"/>
  <c r="K41" i="27"/>
  <c r="W52" i="27"/>
  <c r="U50" i="27"/>
  <c r="S48" i="27"/>
  <c r="W45" i="27"/>
  <c r="U43" i="27"/>
  <c r="S41" i="27"/>
  <c r="W38" i="27"/>
  <c r="U36" i="27"/>
  <c r="S34" i="27"/>
  <c r="W31" i="27"/>
  <c r="U29" i="27"/>
  <c r="S27" i="27"/>
  <c r="W24" i="27"/>
  <c r="U22" i="27"/>
  <c r="S20" i="27"/>
  <c r="W17" i="27"/>
  <c r="U15" i="27"/>
  <c r="S13" i="27"/>
  <c r="E35" i="18"/>
  <c r="G51" i="18"/>
  <c r="G23" i="18"/>
  <c r="G50" i="18"/>
  <c r="G32" i="18"/>
  <c r="G18" i="18"/>
  <c r="E32" i="18"/>
  <c r="E39" i="18"/>
  <c r="E11" i="18"/>
  <c r="E19" i="18"/>
  <c r="E46" i="18"/>
  <c r="E18" i="18"/>
  <c r="G26" i="18"/>
  <c r="G6" i="18"/>
  <c r="G19" i="18"/>
  <c r="G5" i="18"/>
  <c r="G48" i="18"/>
  <c r="E6" i="18"/>
  <c r="G49" i="18"/>
  <c r="K40" i="27"/>
  <c r="K45" i="27"/>
  <c r="K31" i="27"/>
  <c r="K17" i="27"/>
  <c r="K3" i="27"/>
  <c r="K38" i="27"/>
  <c r="K23" i="27"/>
  <c r="K50" i="27"/>
  <c r="K36" i="27"/>
  <c r="K22" i="27"/>
  <c r="K8" i="27"/>
  <c r="K39" i="27"/>
  <c r="K24" i="27"/>
  <c r="K37" i="27"/>
  <c r="K49" i="27"/>
  <c r="K35" i="27"/>
  <c r="K21" i="27"/>
  <c r="K7" i="27"/>
  <c r="K12" i="27"/>
  <c r="K11" i="27"/>
  <c r="K10" i="27"/>
  <c r="K51" i="27"/>
  <c r="K9" i="27"/>
  <c r="K48" i="27"/>
  <c r="K34" i="27"/>
  <c r="K20" i="27"/>
  <c r="K6" i="27"/>
  <c r="K52" i="27"/>
  <c r="K47" i="27"/>
  <c r="K33" i="27"/>
  <c r="K19" i="27"/>
  <c r="K5" i="27"/>
  <c r="K26" i="27"/>
  <c r="K25" i="27"/>
  <c r="K46" i="27"/>
  <c r="K32" i="27"/>
  <c r="K18" i="27"/>
  <c r="H35" i="31"/>
  <c r="E49" i="18"/>
  <c r="E21" i="18"/>
  <c r="E38" i="18"/>
  <c r="G35" i="18"/>
  <c r="G4" i="18"/>
  <c r="E10" i="18"/>
  <c r="H31" i="31"/>
  <c r="E37" i="18"/>
  <c r="E8" i="18"/>
  <c r="G34" i="18"/>
  <c r="G36" i="18"/>
  <c r="G22" i="18"/>
  <c r="G8" i="18"/>
  <c r="E36" i="18"/>
  <c r="G33" i="18"/>
  <c r="E5" i="18"/>
  <c r="H39" i="31"/>
  <c r="E25" i="18"/>
  <c r="G41" i="18"/>
  <c r="G27" i="18"/>
  <c r="G13" i="18"/>
  <c r="E47" i="18"/>
  <c r="E33" i="18"/>
  <c r="E4" i="18"/>
  <c r="G40" i="18"/>
  <c r="G12" i="18"/>
  <c r="G7" i="18"/>
  <c r="G21" i="18"/>
  <c r="E51" i="18"/>
  <c r="E23" i="18"/>
  <c r="E9" i="18"/>
  <c r="E52" i="18"/>
  <c r="E24" i="18"/>
  <c r="G20" i="18"/>
  <c r="E50" i="18"/>
  <c r="E22" i="18"/>
  <c r="G45" i="18"/>
  <c r="G31" i="18"/>
  <c r="G44" i="18"/>
  <c r="G30" i="18"/>
  <c r="G52" i="18"/>
  <c r="G38" i="18"/>
  <c r="G24" i="18"/>
  <c r="G10" i="18"/>
  <c r="G17" i="18"/>
  <c r="G43" i="18"/>
  <c r="G29" i="18"/>
  <c r="G15" i="18"/>
  <c r="G42" i="18"/>
  <c r="G28" i="18"/>
  <c r="G14" i="18"/>
  <c r="G39" i="18"/>
  <c r="G25" i="18"/>
  <c r="G11" i="18"/>
  <c r="G16" i="18"/>
  <c r="E45" i="18"/>
  <c r="E17" i="18"/>
  <c r="E44" i="18"/>
  <c r="E16" i="18"/>
  <c r="E42" i="18"/>
  <c r="E14" i="18"/>
  <c r="E41" i="18"/>
  <c r="E27" i="18"/>
  <c r="E40" i="18"/>
  <c r="E26" i="18"/>
  <c r="E12" i="18"/>
  <c r="E43" i="18"/>
  <c r="E29" i="18"/>
  <c r="E15" i="18"/>
  <c r="E31" i="18"/>
  <c r="E28" i="18"/>
  <c r="E30" i="18"/>
  <c r="E13" i="18"/>
  <c r="F57" i="31"/>
  <c r="Z14" i="8" l="1"/>
  <c r="Z43" i="8"/>
  <c r="Z26" i="8"/>
  <c r="Q22" i="26"/>
  <c r="Z12" i="8"/>
  <c r="Z19" i="8"/>
  <c r="Z49" i="8"/>
  <c r="Z22" i="8"/>
  <c r="Z31" i="8"/>
  <c r="Z6" i="8"/>
  <c r="Z36" i="8"/>
  <c r="Z40" i="8"/>
  <c r="Z13" i="8"/>
  <c r="Z44" i="8"/>
  <c r="Z23" i="8"/>
  <c r="Z50" i="8"/>
  <c r="Z38" i="8"/>
  <c r="Z2" i="8"/>
  <c r="Z42" i="8"/>
  <c r="Z3" i="8"/>
  <c r="Z41" i="8"/>
  <c r="Z4" i="8"/>
  <c r="Z32" i="8"/>
  <c r="Z7" i="8"/>
  <c r="Z10" i="8"/>
  <c r="Z11" i="8"/>
  <c r="Z51" i="8"/>
  <c r="Z28" i="8"/>
  <c r="Z25" i="8"/>
  <c r="Z35" i="8"/>
  <c r="Z24" i="8"/>
  <c r="Z48" i="8"/>
  <c r="Z18" i="8"/>
  <c r="Z16" i="8"/>
  <c r="Z8" i="8"/>
  <c r="Z30" i="8"/>
  <c r="Z33" i="8"/>
  <c r="Z37" i="8"/>
  <c r="Z39" i="8"/>
  <c r="Z20" i="8"/>
  <c r="Z47" i="8"/>
  <c r="Z27" i="8"/>
  <c r="Z9" i="8"/>
  <c r="Z21" i="8"/>
  <c r="Z46" i="8"/>
  <c r="Z15" i="8"/>
  <c r="Z5" i="8"/>
  <c r="Z34" i="8"/>
  <c r="Z17" i="8"/>
  <c r="BN23" i="27"/>
  <c r="AO46" i="18"/>
  <c r="AP46" i="18"/>
  <c r="AQ46" i="18"/>
  <c r="AN22" i="26"/>
  <c r="U22" i="26"/>
  <c r="T22" i="8"/>
  <c r="R33" i="8"/>
  <c r="AN46" i="18"/>
  <c r="Q12" i="8"/>
  <c r="R43" i="8"/>
  <c r="Q26" i="8"/>
  <c r="W34" i="8"/>
  <c r="W42" i="8"/>
  <c r="BA22" i="26"/>
  <c r="BU22" i="26" s="1"/>
  <c r="T26" i="8"/>
  <c r="V15" i="8"/>
  <c r="Y43" i="8"/>
  <c r="X16" i="8"/>
  <c r="Y19" i="8"/>
  <c r="V34" i="8"/>
  <c r="Y3" i="8"/>
  <c r="X17" i="8"/>
  <c r="H22" i="26"/>
  <c r="AB22" i="26" s="1"/>
  <c r="T38" i="8"/>
  <c r="Y29" i="8"/>
  <c r="W16" i="8"/>
  <c r="X19" i="8"/>
  <c r="T14" i="8"/>
  <c r="Y42" i="8"/>
  <c r="W10" i="8"/>
  <c r="W45" i="8"/>
  <c r="Q46" i="8"/>
  <c r="Q19" i="8"/>
  <c r="W29" i="8"/>
  <c r="T16" i="8"/>
  <c r="Y33" i="8"/>
  <c r="M22" i="26"/>
  <c r="X28" i="8"/>
  <c r="T46" i="8"/>
  <c r="Q13" i="8"/>
  <c r="S27" i="8"/>
  <c r="Q2" i="8"/>
  <c r="Q35" i="8"/>
  <c r="S39" i="8"/>
  <c r="BE22" i="26"/>
  <c r="W43" i="8"/>
  <c r="T23" i="8"/>
  <c r="X47" i="8"/>
  <c r="Y28" i="8"/>
  <c r="V27" i="8"/>
  <c r="W38" i="8"/>
  <c r="Y24" i="8"/>
  <c r="AV22" i="26"/>
  <c r="BP22" i="26" s="1"/>
  <c r="Q39" i="8"/>
  <c r="R5" i="8"/>
  <c r="T42" i="8"/>
  <c r="X8" i="8"/>
  <c r="W9" i="8"/>
  <c r="W12" i="8"/>
  <c r="V33" i="8"/>
  <c r="R37" i="8"/>
  <c r="V14" i="8"/>
  <c r="Q6" i="8"/>
  <c r="Y27" i="8"/>
  <c r="R32" i="8"/>
  <c r="Q37" i="8"/>
  <c r="T47" i="8"/>
  <c r="T31" i="8"/>
  <c r="T15" i="8"/>
  <c r="X13" i="8"/>
  <c r="V38" i="8"/>
  <c r="Q11" i="8"/>
  <c r="Y7" i="8"/>
  <c r="S4" i="8"/>
  <c r="V13" i="8"/>
  <c r="R41" i="8"/>
  <c r="V32" i="8"/>
  <c r="Q22" i="8"/>
  <c r="S10" i="8"/>
  <c r="S33" i="8"/>
  <c r="X37" i="8"/>
  <c r="W8" i="8"/>
  <c r="Y22" i="8"/>
  <c r="W36" i="8"/>
  <c r="V9" i="8"/>
  <c r="W37" i="8"/>
  <c r="V23" i="8"/>
  <c r="Q14" i="8"/>
  <c r="X12" i="8"/>
  <c r="X26" i="8"/>
  <c r="V51" i="8"/>
  <c r="T41" i="8"/>
  <c r="X6" i="8"/>
  <c r="X20" i="8"/>
  <c r="Q41" i="8"/>
  <c r="X48" i="8"/>
  <c r="V2" i="8"/>
  <c r="X31" i="8"/>
  <c r="Q4" i="8"/>
  <c r="R11" i="8"/>
  <c r="V25" i="8"/>
  <c r="W32" i="8"/>
  <c r="T8" i="8"/>
  <c r="T51" i="8"/>
  <c r="S50" i="8"/>
  <c r="T36" i="8"/>
  <c r="S32" i="8"/>
  <c r="X29" i="8"/>
  <c r="V30" i="8"/>
  <c r="T40" i="8"/>
  <c r="R27" i="8"/>
  <c r="V10" i="8"/>
  <c r="V45" i="8"/>
  <c r="T28" i="8"/>
  <c r="X38" i="8"/>
  <c r="AW22" i="26"/>
  <c r="T37" i="8"/>
  <c r="X15" i="8"/>
  <c r="V43" i="8"/>
  <c r="X44" i="8"/>
  <c r="X33" i="8"/>
  <c r="Q27" i="8"/>
  <c r="W3" i="8"/>
  <c r="BH22" i="26"/>
  <c r="CB22" i="26" s="1"/>
  <c r="T39" i="8"/>
  <c r="Q30" i="8"/>
  <c r="S11" i="8"/>
  <c r="X14" i="8"/>
  <c r="X43" i="8"/>
  <c r="W14" i="8"/>
  <c r="R6" i="8"/>
  <c r="Q20" i="8"/>
  <c r="AZ22" i="26"/>
  <c r="BT22" i="26" s="1"/>
  <c r="W39" i="8"/>
  <c r="R9" i="8"/>
  <c r="T19" i="8"/>
  <c r="S14" i="8"/>
  <c r="X36" i="8"/>
  <c r="W33" i="8"/>
  <c r="Y14" i="8"/>
  <c r="V42" i="8"/>
  <c r="T6" i="8"/>
  <c r="V20" i="8"/>
  <c r="S2" i="8"/>
  <c r="W46" i="8"/>
  <c r="I22" i="26"/>
  <c r="T24" i="8"/>
  <c r="R42" i="8"/>
  <c r="Q23" i="8"/>
  <c r="X42" i="8"/>
  <c r="W20" i="8"/>
  <c r="Y48" i="8"/>
  <c r="Y38" i="8"/>
  <c r="BD22" i="26"/>
  <c r="BX22" i="26" s="1"/>
  <c r="V39" i="8"/>
  <c r="S40" i="8"/>
  <c r="Y12" i="8"/>
  <c r="T21" i="8"/>
  <c r="W28" i="8"/>
  <c r="V6" i="8"/>
  <c r="V8" i="8"/>
  <c r="Y9" i="8"/>
  <c r="W26" i="8"/>
  <c r="Y51" i="8"/>
  <c r="W6" i="8"/>
  <c r="X27" i="8"/>
  <c r="X2" i="8"/>
  <c r="R18" i="8"/>
  <c r="V46" i="8"/>
  <c r="S38" i="8"/>
  <c r="S24" i="8"/>
  <c r="Q21" i="8"/>
  <c r="V22" i="8"/>
  <c r="V36" i="8"/>
  <c r="R50" i="8"/>
  <c r="Y37" i="8"/>
  <c r="T7" i="8"/>
  <c r="W23" i="8"/>
  <c r="Y26" i="8"/>
  <c r="V40" i="8"/>
  <c r="X51" i="8"/>
  <c r="X7" i="8"/>
  <c r="V35" i="8"/>
  <c r="Y6" i="8"/>
  <c r="V41" i="8"/>
  <c r="Q17" i="8"/>
  <c r="R24" i="8"/>
  <c r="Y31" i="8"/>
  <c r="Y4" i="8"/>
  <c r="Y11" i="8"/>
  <c r="Y18" i="8"/>
  <c r="X25" i="8"/>
  <c r="Y32" i="8"/>
  <c r="S47" i="8"/>
  <c r="S44" i="8"/>
  <c r="R36" i="8"/>
  <c r="T2" i="8"/>
  <c r="S22" i="8"/>
  <c r="Y30" i="8"/>
  <c r="V47" i="8"/>
  <c r="W51" i="8"/>
  <c r="W27" i="8"/>
  <c r="Q24" i="8"/>
  <c r="Q18" i="8"/>
  <c r="S13" i="8"/>
  <c r="T29" i="8"/>
  <c r="X22" i="8"/>
  <c r="V37" i="8"/>
  <c r="V12" i="8"/>
  <c r="Y20" i="8"/>
  <c r="W48" i="8"/>
  <c r="T4" i="8"/>
  <c r="T25" i="8"/>
  <c r="Y39" i="8"/>
  <c r="S30" i="8"/>
  <c r="T5" i="8"/>
  <c r="Q28" i="8"/>
  <c r="Y36" i="8"/>
  <c r="V50" i="8"/>
  <c r="X23" i="8"/>
  <c r="V26" i="8"/>
  <c r="X40" i="8"/>
  <c r="S49" i="8"/>
  <c r="V7" i="8"/>
  <c r="V21" i="8"/>
  <c r="W35" i="8"/>
  <c r="R49" i="8"/>
  <c r="X41" i="8"/>
  <c r="T10" i="8"/>
  <c r="S17" i="8"/>
  <c r="W24" i="8"/>
  <c r="V31" i="8"/>
  <c r="W4" i="8"/>
  <c r="W11" i="8"/>
  <c r="W18" i="8"/>
  <c r="W25" i="8"/>
  <c r="T50" i="8"/>
  <c r="R16" i="8"/>
  <c r="R19" i="8"/>
  <c r="R34" i="8"/>
  <c r="S43" i="8"/>
  <c r="Q36" i="8"/>
  <c r="S18" i="8"/>
  <c r="S48" i="8"/>
  <c r="X50" i="8"/>
  <c r="Y5" i="8"/>
  <c r="W40" i="8"/>
  <c r="V49" i="8"/>
  <c r="T34" i="8"/>
  <c r="Q3" i="8"/>
  <c r="R17" i="8"/>
  <c r="X4" i="8"/>
  <c r="X32" i="8"/>
  <c r="Y50" i="8"/>
  <c r="T30" i="8"/>
  <c r="T49" i="8"/>
  <c r="W5" i="8"/>
  <c r="Y40" i="8"/>
  <c r="T35" i="8"/>
  <c r="W21" i="8"/>
  <c r="X35" i="8"/>
  <c r="Y49" i="8"/>
  <c r="V48" i="8"/>
  <c r="X34" i="8"/>
  <c r="Y41" i="8"/>
  <c r="Q10" i="8"/>
  <c r="V24" i="8"/>
  <c r="V4" i="8"/>
  <c r="V11" i="8"/>
  <c r="X18" i="8"/>
  <c r="Q40" i="8"/>
  <c r="Q50" i="8"/>
  <c r="S37" i="8"/>
  <c r="BI22" i="26"/>
  <c r="V28" i="8"/>
  <c r="W22" i="8"/>
  <c r="Y47" i="8"/>
  <c r="R20" i="8"/>
  <c r="T48" i="8"/>
  <c r="W2" i="8"/>
  <c r="R31" i="8"/>
  <c r="R39" i="8"/>
  <c r="R4" i="8"/>
  <c r="Q25" i="8"/>
  <c r="X39" i="8"/>
  <c r="Y46" i="8"/>
  <c r="R40" i="8"/>
  <c r="Q34" i="8"/>
  <c r="R44" i="8"/>
  <c r="Y21" i="8"/>
  <c r="W41" i="8"/>
  <c r="W31" i="8"/>
  <c r="V18" i="8"/>
  <c r="S26" i="8"/>
  <c r="S36" i="8"/>
  <c r="S23" i="8"/>
  <c r="W15" i="8"/>
  <c r="W50" i="8"/>
  <c r="V16" i="8"/>
  <c r="X30" i="8"/>
  <c r="W44" i="8"/>
  <c r="R51" i="8"/>
  <c r="X5" i="8"/>
  <c r="V19" i="8"/>
  <c r="X21" i="8"/>
  <c r="X49" i="8"/>
  <c r="Y25" i="8"/>
  <c r="V3" i="8"/>
  <c r="X10" i="8"/>
  <c r="Y17" i="8"/>
  <c r="Y45" i="8"/>
  <c r="Q8" i="8"/>
  <c r="L22" i="26"/>
  <c r="R28" i="8"/>
  <c r="R25" i="8"/>
  <c r="W47" i="8"/>
  <c r="W13" i="8"/>
  <c r="Y8" i="8"/>
  <c r="X9" i="8"/>
  <c r="T32" i="8"/>
  <c r="Y23" i="8"/>
  <c r="W7" i="8"/>
  <c r="Y35" i="8"/>
  <c r="Q32" i="8"/>
  <c r="X24" i="8"/>
  <c r="X11" i="8"/>
  <c r="Q5" i="8"/>
  <c r="S51" i="8"/>
  <c r="Y15" i="8"/>
  <c r="V29" i="8"/>
  <c r="Q16" i="8"/>
  <c r="Y16" i="8"/>
  <c r="W30" i="8"/>
  <c r="Y44" i="8"/>
  <c r="S28" i="8"/>
  <c r="V5" i="8"/>
  <c r="W19" i="8"/>
  <c r="W49" i="8"/>
  <c r="T27" i="8"/>
  <c r="Y34" i="8"/>
  <c r="X3" i="8"/>
  <c r="Y10" i="8"/>
  <c r="V17" i="8"/>
  <c r="T45" i="8"/>
  <c r="Q15" i="8"/>
  <c r="P22" i="26"/>
  <c r="AJ22" i="26" s="1"/>
  <c r="Q47" i="8"/>
  <c r="S8" i="8"/>
  <c r="R47" i="8"/>
  <c r="F93" i="31"/>
  <c r="W17" i="8"/>
  <c r="X46" i="8"/>
  <c r="Q29" i="8"/>
  <c r="P47" i="8"/>
  <c r="P5" i="8"/>
  <c r="P43" i="8"/>
  <c r="P9" i="8"/>
  <c r="P35" i="8"/>
  <c r="P49" i="8"/>
  <c r="P36" i="8"/>
  <c r="P23" i="8"/>
  <c r="P29" i="8"/>
  <c r="P8" i="8"/>
  <c r="P17" i="8"/>
  <c r="P37" i="8"/>
  <c r="P48" i="8"/>
  <c r="P4" i="8"/>
  <c r="V44" i="8"/>
  <c r="P51" i="8"/>
  <c r="P26" i="8"/>
  <c r="P7" i="8"/>
  <c r="P46" i="8"/>
  <c r="P32" i="8"/>
  <c r="P24" i="8"/>
  <c r="P33" i="8"/>
  <c r="P20" i="8"/>
  <c r="F61" i="31"/>
  <c r="R29" i="8"/>
  <c r="P40" i="8"/>
  <c r="P39" i="8"/>
  <c r="P44" i="8"/>
  <c r="P14" i="8"/>
  <c r="P13" i="8"/>
  <c r="P41" i="8"/>
  <c r="P42" i="8"/>
  <c r="P27" i="8"/>
  <c r="P6" i="8"/>
  <c r="P22" i="8"/>
  <c r="P15" i="8"/>
  <c r="P28" i="8"/>
  <c r="P19" i="8"/>
  <c r="Y13" i="8"/>
  <c r="Y2" i="8"/>
  <c r="F69" i="31"/>
  <c r="F81" i="31"/>
  <c r="F65" i="31"/>
  <c r="T3" i="24"/>
  <c r="T4" i="24"/>
  <c r="T11" i="24"/>
  <c r="T18" i="24"/>
  <c r="T25" i="24"/>
  <c r="T32" i="24"/>
  <c r="T39" i="24"/>
  <c r="T46" i="24"/>
  <c r="T6" i="24"/>
  <c r="T8" i="24"/>
  <c r="T15" i="24"/>
  <c r="T22" i="24"/>
  <c r="T29" i="24"/>
  <c r="T36" i="24"/>
  <c r="T43" i="24"/>
  <c r="T50" i="24"/>
  <c r="T10" i="24"/>
  <c r="T12" i="24"/>
  <c r="T19" i="24"/>
  <c r="T26" i="24"/>
  <c r="T33" i="24"/>
  <c r="T40" i="24"/>
  <c r="T47" i="24"/>
  <c r="T13" i="24"/>
  <c r="T17" i="24"/>
  <c r="T24" i="24"/>
  <c r="T31" i="24"/>
  <c r="T38" i="24"/>
  <c r="T45" i="24"/>
  <c r="T52" i="24"/>
  <c r="T9" i="24"/>
  <c r="T16" i="24"/>
  <c r="T23" i="24"/>
  <c r="BY22" i="26" s="1"/>
  <c r="T30" i="24"/>
  <c r="T37" i="24"/>
  <c r="T44" i="24"/>
  <c r="T51" i="24"/>
  <c r="T20" i="24"/>
  <c r="T27" i="24"/>
  <c r="T34" i="24"/>
  <c r="T41" i="24"/>
  <c r="T48" i="24"/>
  <c r="T7" i="24"/>
  <c r="T14" i="24"/>
  <c r="T21" i="24"/>
  <c r="T28" i="24"/>
  <c r="T35" i="24"/>
  <c r="T42" i="24"/>
  <c r="T49" i="24"/>
  <c r="T5" i="24"/>
  <c r="Q12" i="35"/>
  <c r="Q26" i="35"/>
  <c r="Q40" i="35"/>
  <c r="Q4" i="35"/>
  <c r="F105" i="31" s="1"/>
  <c r="Q13" i="35"/>
  <c r="Q27" i="35"/>
  <c r="Q41" i="35"/>
  <c r="Q14" i="35"/>
  <c r="Q28" i="35"/>
  <c r="Q42" i="35"/>
  <c r="Q15" i="35"/>
  <c r="Q29" i="35"/>
  <c r="Q43" i="35"/>
  <c r="Q16" i="35"/>
  <c r="Q30" i="35"/>
  <c r="Q44" i="35"/>
  <c r="Q17" i="35"/>
  <c r="Q31" i="35"/>
  <c r="Q45" i="35"/>
  <c r="Q34" i="35"/>
  <c r="Q8" i="35"/>
  <c r="Q22" i="35"/>
  <c r="Q36" i="35"/>
  <c r="Q50" i="35"/>
  <c r="Q10" i="35"/>
  <c r="Q24" i="35"/>
  <c r="Q38" i="35"/>
  <c r="Q52" i="35"/>
  <c r="Q18" i="35"/>
  <c r="Q32" i="35"/>
  <c r="Q46" i="35"/>
  <c r="Q20" i="35"/>
  <c r="Q23" i="35"/>
  <c r="Q5" i="35"/>
  <c r="Q19" i="35"/>
  <c r="Q33" i="35"/>
  <c r="Q47" i="35"/>
  <c r="Q6" i="35"/>
  <c r="Q48" i="35"/>
  <c r="Q9" i="35"/>
  <c r="Q37" i="35"/>
  <c r="Q51" i="35"/>
  <c r="Q7" i="35"/>
  <c r="Q21" i="35"/>
  <c r="Q35" i="35"/>
  <c r="Q49" i="35"/>
  <c r="Q11" i="35"/>
  <c r="Q25" i="35"/>
  <c r="Q39" i="35"/>
  <c r="Q53" i="35"/>
  <c r="AH2" i="3"/>
  <c r="AH51" i="3"/>
  <c r="AH50" i="3"/>
  <c r="AH49" i="3"/>
  <c r="AH48" i="3"/>
  <c r="AH47" i="3"/>
  <c r="AH46" i="3"/>
  <c r="AH45" i="3"/>
  <c r="AH44" i="3"/>
  <c r="AH43" i="3"/>
  <c r="AH42" i="3"/>
  <c r="AH41" i="3"/>
  <c r="AH40" i="3"/>
  <c r="AH39" i="3"/>
  <c r="AH38" i="3"/>
  <c r="AH37" i="3"/>
  <c r="AH36" i="3"/>
  <c r="AH35" i="3"/>
  <c r="AH34" i="3"/>
  <c r="AH33" i="3"/>
  <c r="AH32" i="3"/>
  <c r="AH31" i="3"/>
  <c r="AH30" i="3"/>
  <c r="AH29" i="3"/>
  <c r="AH28" i="3"/>
  <c r="AH27" i="3"/>
  <c r="AH26" i="3"/>
  <c r="AH25" i="3"/>
  <c r="AH24" i="3"/>
  <c r="AH23" i="3"/>
  <c r="AH22" i="3"/>
  <c r="AH21" i="3"/>
  <c r="AH20" i="3"/>
  <c r="AH19" i="3"/>
  <c r="AH18" i="3"/>
  <c r="AH17" i="3"/>
  <c r="AH16" i="3"/>
  <c r="AH15" i="3"/>
  <c r="AH14" i="3"/>
  <c r="AH13" i="3"/>
  <c r="AH12" i="3"/>
  <c r="AH11" i="3"/>
  <c r="AH10" i="3"/>
  <c r="AH9" i="3"/>
  <c r="AH8" i="3"/>
  <c r="AH7" i="3"/>
  <c r="AH6" i="3"/>
  <c r="AH5" i="3"/>
  <c r="AH4" i="3"/>
  <c r="AH3" i="3"/>
  <c r="AC3" i="3"/>
  <c r="AC4" i="3"/>
  <c r="AC5" i="3"/>
  <c r="AC6" i="3"/>
  <c r="AC7" i="3"/>
  <c r="AC8" i="3"/>
  <c r="AC9" i="3"/>
  <c r="AC10" i="3"/>
  <c r="AC11" i="3"/>
  <c r="AC12" i="3"/>
  <c r="AC13" i="3"/>
  <c r="AC14" i="3"/>
  <c r="AC15" i="3"/>
  <c r="AC16" i="3"/>
  <c r="AC17" i="3"/>
  <c r="AC19" i="3"/>
  <c r="AC20" i="3"/>
  <c r="AC21" i="3"/>
  <c r="AC22" i="3"/>
  <c r="AC23" i="3"/>
  <c r="AC24" i="3"/>
  <c r="AC25" i="3"/>
  <c r="AC26" i="3"/>
  <c r="AC27" i="3"/>
  <c r="AC28" i="3"/>
  <c r="AC29" i="3"/>
  <c r="AC30" i="3"/>
  <c r="AC31" i="3"/>
  <c r="AC32" i="3"/>
  <c r="AC33" i="3"/>
  <c r="AC34" i="3"/>
  <c r="AC35" i="3"/>
  <c r="AC36" i="3"/>
  <c r="AC37" i="3"/>
  <c r="AC38" i="3"/>
  <c r="AC39" i="3"/>
  <c r="AC40" i="3"/>
  <c r="AC41" i="3"/>
  <c r="AC42" i="3"/>
  <c r="AC43" i="3"/>
  <c r="AC44" i="3"/>
  <c r="AC45" i="3"/>
  <c r="AC46" i="3"/>
  <c r="AC47" i="3"/>
  <c r="AC48" i="3"/>
  <c r="AC49" i="3"/>
  <c r="AC50" i="3"/>
  <c r="AC51" i="3"/>
  <c r="AC2" i="3"/>
  <c r="X3" i="3"/>
  <c r="X4" i="3"/>
  <c r="X5" i="3"/>
  <c r="X6" i="3"/>
  <c r="X7" i="3"/>
  <c r="X8" i="3"/>
  <c r="X9" i="3"/>
  <c r="X10" i="3"/>
  <c r="X11" i="3"/>
  <c r="X12" i="3"/>
  <c r="X13" i="3"/>
  <c r="X14" i="3"/>
  <c r="X15" i="3"/>
  <c r="X16" i="3"/>
  <c r="X17" i="3"/>
  <c r="X19" i="3"/>
  <c r="X20" i="3"/>
  <c r="X21" i="3"/>
  <c r="X22" i="3"/>
  <c r="X23" i="3"/>
  <c r="X24" i="3"/>
  <c r="X25" i="3"/>
  <c r="X26" i="3"/>
  <c r="X27" i="3"/>
  <c r="X28" i="3"/>
  <c r="X29" i="3"/>
  <c r="X30" i="3"/>
  <c r="X31" i="3"/>
  <c r="X32" i="3"/>
  <c r="X33" i="3"/>
  <c r="X34" i="3"/>
  <c r="X35" i="3"/>
  <c r="X36" i="3"/>
  <c r="X37" i="3"/>
  <c r="X38" i="3"/>
  <c r="X39" i="3"/>
  <c r="X40" i="3"/>
  <c r="X41" i="3"/>
  <c r="X42" i="3"/>
  <c r="X43" i="3"/>
  <c r="X44" i="3"/>
  <c r="X45" i="3"/>
  <c r="X46" i="3"/>
  <c r="X47" i="3"/>
  <c r="X48" i="3"/>
  <c r="X50" i="3"/>
  <c r="X51" i="3"/>
  <c r="X2" i="3"/>
  <c r="AK22" i="26" l="1"/>
  <c r="CK22" i="26"/>
  <c r="BQ22" i="26"/>
  <c r="CC22" i="26"/>
  <c r="AC22" i="26"/>
  <c r="AO22" i="26"/>
  <c r="X45" i="8"/>
  <c r="S29" i="8"/>
  <c r="R14" i="8"/>
  <c r="S6" i="8"/>
  <c r="T20" i="8"/>
  <c r="AG23" i="27"/>
  <c r="AF22" i="26"/>
  <c r="T3" i="8"/>
  <c r="Q38" i="8"/>
  <c r="BA23" i="27"/>
  <c r="R35" i="8"/>
  <c r="T43" i="8"/>
  <c r="Q33" i="8"/>
  <c r="S9" i="8"/>
  <c r="AO23" i="27"/>
  <c r="AL23" i="27"/>
  <c r="Q44" i="8"/>
  <c r="S19" i="8"/>
  <c r="T11" i="8"/>
  <c r="R8" i="8"/>
  <c r="Q7" i="8"/>
  <c r="P2" i="8"/>
  <c r="Q42" i="8"/>
  <c r="Q51" i="8"/>
  <c r="S25" i="8"/>
  <c r="R12" i="8"/>
  <c r="R38" i="8"/>
  <c r="R45" i="8"/>
  <c r="AH23" i="27"/>
  <c r="AG22" i="26"/>
  <c r="R13" i="8"/>
  <c r="R2" i="8"/>
  <c r="R30" i="8"/>
  <c r="S7" i="8"/>
  <c r="AP23" i="27"/>
  <c r="S34" i="8"/>
  <c r="R21" i="8"/>
  <c r="Q49" i="8"/>
  <c r="R48" i="8"/>
  <c r="R22" i="8"/>
  <c r="T13" i="8"/>
  <c r="S46" i="8"/>
  <c r="T18" i="8"/>
  <c r="S41" i="8"/>
  <c r="Q31" i="8"/>
  <c r="T17" i="8"/>
  <c r="R15" i="8"/>
  <c r="Q45" i="8"/>
  <c r="R46" i="8"/>
  <c r="F117" i="31"/>
  <c r="BJ23" i="27"/>
  <c r="R26" i="8"/>
  <c r="S15" i="8"/>
  <c r="R3" i="8"/>
  <c r="S12" i="8"/>
  <c r="T33" i="8"/>
  <c r="T9" i="8"/>
  <c r="Q43" i="8"/>
  <c r="S21" i="8"/>
  <c r="S20" i="8"/>
  <c r="S42" i="8"/>
  <c r="S16" i="8"/>
  <c r="Q9" i="8"/>
  <c r="S35" i="8"/>
  <c r="BB23" i="27"/>
  <c r="AK23" i="27"/>
  <c r="AD23" i="27"/>
  <c r="AC23" i="27"/>
  <c r="T12" i="8"/>
  <c r="R10" i="8"/>
  <c r="BE23" i="27"/>
  <c r="BI23" i="27"/>
  <c r="T44" i="8"/>
  <c r="Q48" i="8"/>
  <c r="S3" i="8"/>
  <c r="S45" i="8"/>
  <c r="R23" i="8"/>
  <c r="R7" i="8"/>
  <c r="AW23" i="27"/>
  <c r="S31" i="8"/>
  <c r="S5" i="8"/>
  <c r="AX23" i="27"/>
  <c r="BF23" i="27"/>
  <c r="P18" i="8"/>
  <c r="P25" i="8"/>
  <c r="P12" i="8"/>
  <c r="P31" i="8"/>
  <c r="P11" i="8"/>
  <c r="P50" i="8"/>
  <c r="P16" i="8"/>
  <c r="P45" i="8"/>
  <c r="P3" i="8"/>
  <c r="P30" i="8"/>
  <c r="P38" i="8"/>
  <c r="P21" i="8"/>
  <c r="P10" i="8"/>
  <c r="P34" i="8"/>
  <c r="F85" i="31"/>
  <c r="F109" i="31"/>
  <c r="F113" i="31"/>
  <c r="G55" i="32" l="1"/>
  <c r="G54" i="32"/>
  <c r="G53" i="32"/>
  <c r="G52" i="32"/>
  <c r="E52" i="32" l="1"/>
  <c r="E55" i="32"/>
  <c r="E54" i="32"/>
  <c r="E53" i="32"/>
  <c r="B15" i="31"/>
  <c r="CL2" i="26" l="1"/>
  <c r="CM2" i="26"/>
  <c r="L31" i="31"/>
  <c r="P5" i="29"/>
  <c r="AJ4" i="29"/>
  <c r="AJ5" i="29"/>
  <c r="AJ6" i="29"/>
  <c r="AJ7" i="29"/>
  <c r="AJ8" i="29"/>
  <c r="AJ9" i="29"/>
  <c r="AJ10" i="29"/>
  <c r="AJ11" i="29"/>
  <c r="AJ12" i="29"/>
  <c r="AJ13" i="29"/>
  <c r="AJ14" i="29"/>
  <c r="AJ15" i="29"/>
  <c r="AJ16" i="29"/>
  <c r="AJ17" i="29"/>
  <c r="AJ18" i="29"/>
  <c r="AJ19" i="29"/>
  <c r="AJ20" i="29"/>
  <c r="AJ21" i="29"/>
  <c r="AJ22" i="29"/>
  <c r="AJ23" i="29"/>
  <c r="AJ24" i="29"/>
  <c r="AJ25" i="29"/>
  <c r="AJ26" i="29"/>
  <c r="AJ27" i="29"/>
  <c r="AJ28" i="29"/>
  <c r="AJ29" i="29"/>
  <c r="AJ30" i="29"/>
  <c r="AJ31" i="29"/>
  <c r="AJ32" i="29"/>
  <c r="AJ33" i="29"/>
  <c r="AJ34" i="29"/>
  <c r="AJ35" i="29"/>
  <c r="AJ36" i="29"/>
  <c r="AJ37" i="29"/>
  <c r="AJ38" i="29"/>
  <c r="AJ39" i="29"/>
  <c r="AJ40" i="29"/>
  <c r="AJ41" i="29"/>
  <c r="AJ42" i="29"/>
  <c r="AJ43" i="29"/>
  <c r="AJ44" i="29"/>
  <c r="AJ45" i="29"/>
  <c r="AJ46" i="29"/>
  <c r="AJ47" i="29"/>
  <c r="AJ48" i="29"/>
  <c r="AJ49" i="29"/>
  <c r="AJ50" i="29"/>
  <c r="AJ51" i="29"/>
  <c r="AJ52" i="29"/>
  <c r="AH4" i="29"/>
  <c r="AI4" i="29"/>
  <c r="AH5" i="29"/>
  <c r="AI5" i="29"/>
  <c r="AH6" i="29"/>
  <c r="AI6" i="29"/>
  <c r="AH7" i="29"/>
  <c r="AI7" i="29"/>
  <c r="AH8" i="29"/>
  <c r="AI8" i="29"/>
  <c r="AH9" i="29"/>
  <c r="AI9" i="29"/>
  <c r="AH10" i="29"/>
  <c r="AI10" i="29"/>
  <c r="AH11" i="29"/>
  <c r="AI11" i="29"/>
  <c r="AH12" i="29"/>
  <c r="AI12" i="29"/>
  <c r="AH13" i="29"/>
  <c r="AI13" i="29"/>
  <c r="AH14" i="29"/>
  <c r="AI14" i="29"/>
  <c r="AH15" i="29"/>
  <c r="AI15" i="29"/>
  <c r="AH16" i="29"/>
  <c r="AI16" i="29"/>
  <c r="AH17" i="29"/>
  <c r="AI17" i="29"/>
  <c r="AH18" i="29"/>
  <c r="AI18" i="29"/>
  <c r="AH19" i="29"/>
  <c r="AI19" i="29"/>
  <c r="AH20" i="29"/>
  <c r="AI20" i="29"/>
  <c r="AH21" i="29"/>
  <c r="AI21" i="29"/>
  <c r="AH22" i="29"/>
  <c r="AI22" i="29"/>
  <c r="AH23" i="29"/>
  <c r="AI23" i="29"/>
  <c r="AH24" i="29"/>
  <c r="AI24" i="29"/>
  <c r="AH25" i="29"/>
  <c r="AI25" i="29"/>
  <c r="AH26" i="29"/>
  <c r="AI26" i="29"/>
  <c r="AH27" i="29"/>
  <c r="AI27" i="29"/>
  <c r="AH28" i="29"/>
  <c r="AI28" i="29"/>
  <c r="AH29" i="29"/>
  <c r="AI29" i="29"/>
  <c r="AH30" i="29"/>
  <c r="AI30" i="29"/>
  <c r="AH31" i="29"/>
  <c r="AI31" i="29"/>
  <c r="AH32" i="29"/>
  <c r="AI32" i="29"/>
  <c r="AH33" i="29"/>
  <c r="AI33" i="29"/>
  <c r="AH34" i="29"/>
  <c r="AI34" i="29"/>
  <c r="AH35" i="29"/>
  <c r="AI35" i="29"/>
  <c r="AH36" i="29"/>
  <c r="AI36" i="29"/>
  <c r="AH37" i="29"/>
  <c r="AI37" i="29"/>
  <c r="AH38" i="29"/>
  <c r="AI38" i="29"/>
  <c r="AH39" i="29"/>
  <c r="AI39" i="29"/>
  <c r="AH40" i="29"/>
  <c r="AI40" i="29"/>
  <c r="AH41" i="29"/>
  <c r="AI41" i="29"/>
  <c r="AH42" i="29"/>
  <c r="AI42" i="29"/>
  <c r="AH43" i="29"/>
  <c r="AI43" i="29"/>
  <c r="AH44" i="29"/>
  <c r="AI44" i="29"/>
  <c r="AH45" i="29"/>
  <c r="AI45" i="29"/>
  <c r="AH46" i="29"/>
  <c r="AI46" i="29"/>
  <c r="AH47" i="29"/>
  <c r="AI47" i="29"/>
  <c r="AH48" i="29"/>
  <c r="AI48" i="29"/>
  <c r="AH49" i="29"/>
  <c r="AI49" i="29"/>
  <c r="AH50" i="29"/>
  <c r="AI50" i="29"/>
  <c r="AH51" i="29"/>
  <c r="AI51" i="29"/>
  <c r="AH52" i="29"/>
  <c r="AI52" i="29"/>
  <c r="AI3" i="29"/>
  <c r="AH3" i="29"/>
  <c r="AB4" i="29"/>
  <c r="AC4" i="29"/>
  <c r="AB5" i="29"/>
  <c r="AC5" i="29"/>
  <c r="AB6" i="29"/>
  <c r="AC6" i="29"/>
  <c r="AB7" i="29"/>
  <c r="AC7" i="29"/>
  <c r="AB8" i="29"/>
  <c r="AC8" i="29"/>
  <c r="AB9" i="29"/>
  <c r="AC9" i="29"/>
  <c r="AB10" i="29"/>
  <c r="AC10" i="29"/>
  <c r="AB11" i="29"/>
  <c r="AC11" i="29"/>
  <c r="AB12" i="29"/>
  <c r="AC12" i="29"/>
  <c r="AB13" i="29"/>
  <c r="AC13" i="29"/>
  <c r="AB14" i="29"/>
  <c r="AC14" i="29"/>
  <c r="AB15" i="29"/>
  <c r="AC15" i="29"/>
  <c r="AB16" i="29"/>
  <c r="AC16" i="29"/>
  <c r="AB17" i="29"/>
  <c r="AC17" i="29"/>
  <c r="AB18" i="29"/>
  <c r="AC18" i="29"/>
  <c r="AB19" i="29"/>
  <c r="AC19" i="29"/>
  <c r="AB20" i="29"/>
  <c r="AC20" i="29"/>
  <c r="AB21" i="29"/>
  <c r="AC21" i="29"/>
  <c r="AB22" i="29"/>
  <c r="AC22" i="29"/>
  <c r="AB23" i="29"/>
  <c r="AC23" i="29"/>
  <c r="AB24" i="29"/>
  <c r="AC24" i="29"/>
  <c r="AB25" i="29"/>
  <c r="AC25" i="29"/>
  <c r="AB26" i="29"/>
  <c r="AC26" i="29"/>
  <c r="AB27" i="29"/>
  <c r="AC27" i="29"/>
  <c r="AB28" i="29"/>
  <c r="AC28" i="29"/>
  <c r="AB29" i="29"/>
  <c r="AC29" i="29"/>
  <c r="AB30" i="29"/>
  <c r="AC30" i="29"/>
  <c r="AB31" i="29"/>
  <c r="AC31" i="29"/>
  <c r="AB32" i="29"/>
  <c r="AC32" i="29"/>
  <c r="AB33" i="29"/>
  <c r="AC33" i="29"/>
  <c r="AB34" i="29"/>
  <c r="AC34" i="29"/>
  <c r="AB35" i="29"/>
  <c r="AC35" i="29"/>
  <c r="AB36" i="29"/>
  <c r="AC36" i="29"/>
  <c r="AB37" i="29"/>
  <c r="AC37" i="29"/>
  <c r="AB38" i="29"/>
  <c r="AC38" i="29"/>
  <c r="AB39" i="29"/>
  <c r="AC39" i="29"/>
  <c r="AB40" i="29"/>
  <c r="AC40" i="29"/>
  <c r="AB41" i="29"/>
  <c r="AC41" i="29"/>
  <c r="AB42" i="29"/>
  <c r="AC42" i="29"/>
  <c r="AB43" i="29"/>
  <c r="AC43" i="29"/>
  <c r="AB44" i="29"/>
  <c r="AC44" i="29"/>
  <c r="AB45" i="29"/>
  <c r="AC45" i="29"/>
  <c r="AB46" i="29"/>
  <c r="AC46" i="29"/>
  <c r="AB47" i="29"/>
  <c r="AC47" i="29"/>
  <c r="AB48" i="29"/>
  <c r="AC48" i="29"/>
  <c r="AB49" i="29"/>
  <c r="AC49" i="29"/>
  <c r="AB50" i="29"/>
  <c r="AC50" i="29"/>
  <c r="AB51" i="29"/>
  <c r="AC51" i="29"/>
  <c r="AB52" i="29"/>
  <c r="AC52" i="29"/>
  <c r="AC3" i="29"/>
  <c r="AB3" i="29"/>
  <c r="V4" i="29"/>
  <c r="W4" i="29"/>
  <c r="V5" i="29"/>
  <c r="W5" i="29"/>
  <c r="V6" i="29"/>
  <c r="W6" i="29"/>
  <c r="V7" i="29"/>
  <c r="W7" i="29"/>
  <c r="V8" i="29"/>
  <c r="W8" i="29"/>
  <c r="V9" i="29"/>
  <c r="W9" i="29"/>
  <c r="V10" i="29"/>
  <c r="W10" i="29"/>
  <c r="V11" i="29"/>
  <c r="W11" i="29"/>
  <c r="V12" i="29"/>
  <c r="W12" i="29"/>
  <c r="V13" i="29"/>
  <c r="W13" i="29"/>
  <c r="V14" i="29"/>
  <c r="W14" i="29"/>
  <c r="V15" i="29"/>
  <c r="W15" i="29"/>
  <c r="V16" i="29"/>
  <c r="W16" i="29"/>
  <c r="V17" i="29"/>
  <c r="W17" i="29"/>
  <c r="V18" i="29"/>
  <c r="W18" i="29"/>
  <c r="V19" i="29"/>
  <c r="W19" i="29"/>
  <c r="V20" i="29"/>
  <c r="W20" i="29"/>
  <c r="V21" i="29"/>
  <c r="W21" i="29"/>
  <c r="V22" i="29"/>
  <c r="W22" i="29"/>
  <c r="V23" i="29"/>
  <c r="W23" i="29"/>
  <c r="V24" i="29"/>
  <c r="W24" i="29"/>
  <c r="V25" i="29"/>
  <c r="W25" i="29"/>
  <c r="V26" i="29"/>
  <c r="W26" i="29"/>
  <c r="V27" i="29"/>
  <c r="W27" i="29"/>
  <c r="V28" i="29"/>
  <c r="W28" i="29"/>
  <c r="V29" i="29"/>
  <c r="W29" i="29"/>
  <c r="V30" i="29"/>
  <c r="W30" i="29"/>
  <c r="V31" i="29"/>
  <c r="W31" i="29"/>
  <c r="V32" i="29"/>
  <c r="W32" i="29"/>
  <c r="V33" i="29"/>
  <c r="W33" i="29"/>
  <c r="V34" i="29"/>
  <c r="W34" i="29"/>
  <c r="V35" i="29"/>
  <c r="W35" i="29"/>
  <c r="V36" i="29"/>
  <c r="W36" i="29"/>
  <c r="V37" i="29"/>
  <c r="W37" i="29"/>
  <c r="V38" i="29"/>
  <c r="W38" i="29"/>
  <c r="V39" i="29"/>
  <c r="W39" i="29"/>
  <c r="V40" i="29"/>
  <c r="W40" i="29"/>
  <c r="V41" i="29"/>
  <c r="W41" i="29"/>
  <c r="V42" i="29"/>
  <c r="W42" i="29"/>
  <c r="V43" i="29"/>
  <c r="W43" i="29"/>
  <c r="V44" i="29"/>
  <c r="W44" i="29"/>
  <c r="V45" i="29"/>
  <c r="W45" i="29"/>
  <c r="V46" i="29"/>
  <c r="W46" i="29"/>
  <c r="V47" i="29"/>
  <c r="W47" i="29"/>
  <c r="V48" i="29"/>
  <c r="W48" i="29"/>
  <c r="V49" i="29"/>
  <c r="W49" i="29"/>
  <c r="V50" i="29"/>
  <c r="W50" i="29"/>
  <c r="V51" i="29"/>
  <c r="W51" i="29"/>
  <c r="V52" i="29"/>
  <c r="W52" i="29"/>
  <c r="W3" i="29"/>
  <c r="V3" i="29"/>
  <c r="P4" i="29"/>
  <c r="Q4" i="29"/>
  <c r="Q5" i="29"/>
  <c r="P6" i="29"/>
  <c r="Q6" i="29"/>
  <c r="P7" i="29"/>
  <c r="Q7" i="29"/>
  <c r="P8" i="29"/>
  <c r="Q8" i="29"/>
  <c r="P9" i="29"/>
  <c r="Q9" i="29"/>
  <c r="P10" i="29"/>
  <c r="Q10" i="29"/>
  <c r="P11" i="29"/>
  <c r="Q11" i="29"/>
  <c r="P12" i="29"/>
  <c r="Q12" i="29"/>
  <c r="P13" i="29"/>
  <c r="Q13" i="29"/>
  <c r="P14" i="29"/>
  <c r="Q14" i="29"/>
  <c r="P15" i="29"/>
  <c r="Q15" i="29"/>
  <c r="P16" i="29"/>
  <c r="Q16" i="29"/>
  <c r="P17" i="29"/>
  <c r="Q17" i="29"/>
  <c r="P18" i="29"/>
  <c r="Q18" i="29"/>
  <c r="P19" i="29"/>
  <c r="Q19" i="29"/>
  <c r="P20" i="29"/>
  <c r="Q20" i="29"/>
  <c r="P21" i="29"/>
  <c r="Q21" i="29"/>
  <c r="P22" i="29"/>
  <c r="Q22" i="29"/>
  <c r="P23" i="29"/>
  <c r="Q23" i="29"/>
  <c r="P24" i="29"/>
  <c r="Q24" i="29"/>
  <c r="P25" i="29"/>
  <c r="Q25" i="29"/>
  <c r="P26" i="29"/>
  <c r="Q26" i="29"/>
  <c r="P27" i="29"/>
  <c r="Q27" i="29"/>
  <c r="P28" i="29"/>
  <c r="Q28" i="29"/>
  <c r="P29" i="29"/>
  <c r="Q29" i="29"/>
  <c r="P30" i="29"/>
  <c r="Q30" i="29"/>
  <c r="P31" i="29"/>
  <c r="Q31" i="29"/>
  <c r="P32" i="29"/>
  <c r="Q32" i="29"/>
  <c r="P33" i="29"/>
  <c r="Q33" i="29"/>
  <c r="P34" i="29"/>
  <c r="Q34" i="29"/>
  <c r="P35" i="29"/>
  <c r="Q35" i="29"/>
  <c r="P36" i="29"/>
  <c r="Q36" i="29"/>
  <c r="P37" i="29"/>
  <c r="Q37" i="29"/>
  <c r="P38" i="29"/>
  <c r="Q38" i="29"/>
  <c r="P39" i="29"/>
  <c r="Q39" i="29"/>
  <c r="P40" i="29"/>
  <c r="Q40" i="29"/>
  <c r="P41" i="29"/>
  <c r="Q41" i="29"/>
  <c r="P42" i="29"/>
  <c r="Q42" i="29"/>
  <c r="P43" i="29"/>
  <c r="Q43" i="29"/>
  <c r="P44" i="29"/>
  <c r="Q44" i="29"/>
  <c r="P45" i="29"/>
  <c r="Q45" i="29"/>
  <c r="P46" i="29"/>
  <c r="Q46" i="29"/>
  <c r="P47" i="29"/>
  <c r="Q47" i="29"/>
  <c r="P48" i="29"/>
  <c r="Q48" i="29"/>
  <c r="P49" i="29"/>
  <c r="Q49" i="29"/>
  <c r="P50" i="29"/>
  <c r="Q50" i="29"/>
  <c r="P51" i="29"/>
  <c r="Q51" i="29"/>
  <c r="P52" i="29"/>
  <c r="Q52" i="29"/>
  <c r="Q3" i="29"/>
  <c r="P3" i="29"/>
  <c r="J4" i="29"/>
  <c r="AK4" i="29" s="1"/>
  <c r="K4" i="29"/>
  <c r="J5" i="29"/>
  <c r="K5" i="29"/>
  <c r="J6" i="29"/>
  <c r="K6" i="29"/>
  <c r="J7" i="29"/>
  <c r="K7" i="29"/>
  <c r="J8" i="29"/>
  <c r="K8" i="29"/>
  <c r="J9" i="29"/>
  <c r="K9" i="29"/>
  <c r="J10" i="29"/>
  <c r="K10" i="29"/>
  <c r="J11" i="29"/>
  <c r="K11" i="29"/>
  <c r="J12" i="29"/>
  <c r="K12" i="29"/>
  <c r="J13" i="29"/>
  <c r="K13" i="29"/>
  <c r="J14" i="29"/>
  <c r="K14" i="29"/>
  <c r="J15" i="29"/>
  <c r="K15" i="29"/>
  <c r="J16" i="29"/>
  <c r="K16" i="29"/>
  <c r="J17" i="29"/>
  <c r="K17" i="29"/>
  <c r="J18" i="29"/>
  <c r="AK18" i="29" s="1"/>
  <c r="K18" i="29"/>
  <c r="J19" i="29"/>
  <c r="K19" i="29"/>
  <c r="J20" i="29"/>
  <c r="K20" i="29"/>
  <c r="J21" i="29"/>
  <c r="K21" i="29"/>
  <c r="J22" i="29"/>
  <c r="K22" i="29"/>
  <c r="J23" i="29"/>
  <c r="K23" i="29"/>
  <c r="J24" i="29"/>
  <c r="K24" i="29"/>
  <c r="J25" i="29"/>
  <c r="K25" i="29"/>
  <c r="J26" i="29"/>
  <c r="K26" i="29"/>
  <c r="J27" i="29"/>
  <c r="K27" i="29"/>
  <c r="J28" i="29"/>
  <c r="K28" i="29"/>
  <c r="J29" i="29"/>
  <c r="K29" i="29"/>
  <c r="J30" i="29"/>
  <c r="K30" i="29"/>
  <c r="J31" i="29"/>
  <c r="K31" i="29"/>
  <c r="J32" i="29"/>
  <c r="K32" i="29"/>
  <c r="J33" i="29"/>
  <c r="K33" i="29"/>
  <c r="J34" i="29"/>
  <c r="K34" i="29"/>
  <c r="J35" i="29"/>
  <c r="K35" i="29"/>
  <c r="J36" i="29"/>
  <c r="K36" i="29"/>
  <c r="J37" i="29"/>
  <c r="K37" i="29"/>
  <c r="J38" i="29"/>
  <c r="K38" i="29"/>
  <c r="J39" i="29"/>
  <c r="K39" i="29"/>
  <c r="J40" i="29"/>
  <c r="K40" i="29"/>
  <c r="J41" i="29"/>
  <c r="K41" i="29"/>
  <c r="J42" i="29"/>
  <c r="K42" i="29"/>
  <c r="J43" i="29"/>
  <c r="K43" i="29"/>
  <c r="J44" i="29"/>
  <c r="K44" i="29"/>
  <c r="J45" i="29"/>
  <c r="K45" i="29"/>
  <c r="J46" i="29"/>
  <c r="AK46" i="29" s="1"/>
  <c r="K46" i="29"/>
  <c r="J47" i="29"/>
  <c r="AK47" i="29" s="1"/>
  <c r="K47" i="29"/>
  <c r="J48" i="29"/>
  <c r="K48" i="29"/>
  <c r="J49" i="29"/>
  <c r="K49" i="29"/>
  <c r="J50" i="29"/>
  <c r="K50" i="29"/>
  <c r="J51" i="29"/>
  <c r="K51" i="29"/>
  <c r="J52" i="29"/>
  <c r="K52" i="29"/>
  <c r="K3" i="29"/>
  <c r="AL3" i="29" s="1"/>
  <c r="J3" i="29"/>
  <c r="BP3" i="27" l="1"/>
  <c r="BO3" i="27"/>
  <c r="BR2" i="26"/>
  <c r="CD2" i="26"/>
  <c r="BV2" i="26"/>
  <c r="BZ2" i="26"/>
  <c r="AL44" i="29"/>
  <c r="AL16" i="29"/>
  <c r="AK51" i="29"/>
  <c r="AK37" i="29"/>
  <c r="AK9" i="29"/>
  <c r="AK23" i="29"/>
  <c r="AK50" i="29"/>
  <c r="AK36" i="29"/>
  <c r="AK22" i="29"/>
  <c r="AK8" i="29"/>
  <c r="AL28" i="29"/>
  <c r="AK49" i="29"/>
  <c r="AK7" i="29"/>
  <c r="AK33" i="29"/>
  <c r="AL42" i="29"/>
  <c r="AL21" i="29"/>
  <c r="AL14" i="29"/>
  <c r="AK35" i="29"/>
  <c r="AK21" i="29"/>
  <c r="AL48" i="29"/>
  <c r="AL34" i="29"/>
  <c r="AL20" i="29"/>
  <c r="AL6" i="29"/>
  <c r="AK19" i="29"/>
  <c r="AL49" i="29"/>
  <c r="AL35" i="29"/>
  <c r="AL7" i="29"/>
  <c r="AK32" i="29"/>
  <c r="CM49" i="26"/>
  <c r="CL49" i="26"/>
  <c r="CL25" i="26"/>
  <c r="CM25" i="26"/>
  <c r="CL40" i="26"/>
  <c r="CM40" i="26"/>
  <c r="CM26" i="26"/>
  <c r="CL26" i="26"/>
  <c r="CL39" i="26"/>
  <c r="CM39" i="26"/>
  <c r="CM18" i="26"/>
  <c r="CL18" i="26"/>
  <c r="CL47" i="26"/>
  <c r="CM47" i="26"/>
  <c r="CM45" i="26"/>
  <c r="CL45" i="26"/>
  <c r="CM11" i="26"/>
  <c r="CL11" i="26"/>
  <c r="CL36" i="26"/>
  <c r="CM36" i="26"/>
  <c r="CM5" i="26"/>
  <c r="CL5" i="26"/>
  <c r="CL44" i="26"/>
  <c r="CM44" i="26"/>
  <c r="CL38" i="26"/>
  <c r="CM38" i="26"/>
  <c r="CL35" i="26"/>
  <c r="CM35" i="26"/>
  <c r="CM46" i="26"/>
  <c r="CL46" i="26"/>
  <c r="CL15" i="26"/>
  <c r="CM15" i="26"/>
  <c r="CL24" i="26"/>
  <c r="CM24" i="26"/>
  <c r="CL7" i="26"/>
  <c r="CM7" i="26"/>
  <c r="CL4" i="26"/>
  <c r="CM4" i="26"/>
  <c r="CM12" i="26"/>
  <c r="CL12" i="26"/>
  <c r="CL10" i="26"/>
  <c r="CM10" i="26"/>
  <c r="CM43" i="26"/>
  <c r="CL43" i="26"/>
  <c r="CL21" i="26"/>
  <c r="CM21" i="26"/>
  <c r="CL6" i="26"/>
  <c r="CM6" i="26"/>
  <c r="CL16" i="26"/>
  <c r="CM16" i="26"/>
  <c r="CM28" i="26"/>
  <c r="CL28" i="26"/>
  <c r="CL37" i="26"/>
  <c r="CM37" i="26"/>
  <c r="CL22" i="26"/>
  <c r="CM22" i="26"/>
  <c r="CM34" i="26"/>
  <c r="CL34" i="26"/>
  <c r="CM3" i="26"/>
  <c r="CL3" i="26"/>
  <c r="CM17" i="26"/>
  <c r="CL17" i="26"/>
  <c r="CL19" i="26"/>
  <c r="CM19" i="26"/>
  <c r="CL29" i="26"/>
  <c r="CM29" i="26"/>
  <c r="CM14" i="26"/>
  <c r="CL14" i="26"/>
  <c r="CL23" i="26"/>
  <c r="CM23" i="26"/>
  <c r="CM20" i="26"/>
  <c r="CL20" i="26"/>
  <c r="CM32" i="26"/>
  <c r="CL32" i="26"/>
  <c r="CM42" i="26"/>
  <c r="CL42" i="26"/>
  <c r="CM41" i="26"/>
  <c r="CL41" i="26"/>
  <c r="CL9" i="26"/>
  <c r="CM9" i="26"/>
  <c r="CM33" i="26"/>
  <c r="CL33" i="26"/>
  <c r="CL48" i="26"/>
  <c r="CM48" i="26"/>
  <c r="CL51" i="26"/>
  <c r="CM51" i="26"/>
  <c r="CM31" i="26"/>
  <c r="CL31" i="26"/>
  <c r="CL50" i="26"/>
  <c r="CM50" i="26"/>
  <c r="CL27" i="26"/>
  <c r="CM27" i="26"/>
  <c r="CM30" i="26"/>
  <c r="CL30" i="26"/>
  <c r="CL8" i="26"/>
  <c r="CM8" i="26"/>
  <c r="CL13" i="26"/>
  <c r="CM13" i="26"/>
  <c r="D13" i="26"/>
  <c r="Y14" i="27" s="1"/>
  <c r="J22" i="32"/>
  <c r="D9" i="26"/>
  <c r="Y10" i="27" s="1"/>
  <c r="E22" i="26"/>
  <c r="Z23" i="27" s="1"/>
  <c r="D22" i="26"/>
  <c r="Y23" i="27" s="1"/>
  <c r="E24" i="26"/>
  <c r="Z25" i="27" s="1"/>
  <c r="E30" i="26"/>
  <c r="Z31" i="27" s="1"/>
  <c r="D30" i="26"/>
  <c r="E34" i="26"/>
  <c r="Z35" i="27" s="1"/>
  <c r="E49" i="26"/>
  <c r="Z50" i="27" s="1"/>
  <c r="E33" i="26"/>
  <c r="Z34" i="27" s="1"/>
  <c r="E13" i="26"/>
  <c r="Z14" i="27" s="1"/>
  <c r="D21" i="26"/>
  <c r="AL30" i="29"/>
  <c r="AL29" i="29"/>
  <c r="F131" i="31"/>
  <c r="AL52" i="29"/>
  <c r="AL38" i="29"/>
  <c r="AL24" i="29"/>
  <c r="AL10" i="29"/>
  <c r="AL15" i="29"/>
  <c r="AK43" i="29"/>
  <c r="AL23" i="29"/>
  <c r="AL47" i="29"/>
  <c r="AL40" i="29"/>
  <c r="AL33" i="29"/>
  <c r="AL26" i="29"/>
  <c r="AL19" i="29"/>
  <c r="AL12" i="29"/>
  <c r="AL5" i="29"/>
  <c r="AL41" i="29"/>
  <c r="AL27" i="29"/>
  <c r="AL13" i="29"/>
  <c r="AL43" i="29"/>
  <c r="AK16" i="29"/>
  <c r="AK17" i="29"/>
  <c r="AK20" i="29"/>
  <c r="AL50" i="29"/>
  <c r="AL22" i="29"/>
  <c r="AL8" i="29"/>
  <c r="AK40" i="29"/>
  <c r="AK26" i="29"/>
  <c r="AK12" i="29"/>
  <c r="AK5" i="29"/>
  <c r="AK29" i="29"/>
  <c r="AK44" i="29"/>
  <c r="AK31" i="29"/>
  <c r="AK34" i="29"/>
  <c r="AK6" i="29"/>
  <c r="AK28" i="29"/>
  <c r="AL36" i="29"/>
  <c r="AL37" i="29"/>
  <c r="AL46" i="29"/>
  <c r="AL39" i="29"/>
  <c r="AL32" i="29"/>
  <c r="AL25" i="29"/>
  <c r="AL18" i="29"/>
  <c r="AL11" i="29"/>
  <c r="AL4" i="29"/>
  <c r="F135" i="31"/>
  <c r="AK15" i="29"/>
  <c r="AK45" i="29"/>
  <c r="AK41" i="29"/>
  <c r="AK42" i="29"/>
  <c r="AK39" i="29"/>
  <c r="AK25" i="29"/>
  <c r="AK11" i="29"/>
  <c r="AK30" i="29"/>
  <c r="AK27" i="29"/>
  <c r="AL9" i="29"/>
  <c r="AK3" i="29"/>
  <c r="AL45" i="29"/>
  <c r="AL31" i="29"/>
  <c r="AL17" i="29"/>
  <c r="AK48" i="29"/>
  <c r="AK13" i="29"/>
  <c r="AK14" i="29"/>
  <c r="AL51" i="29"/>
  <c r="AK52" i="29"/>
  <c r="AK38" i="29"/>
  <c r="AK24" i="29"/>
  <c r="AK10" i="29"/>
  <c r="BP51" i="27" l="1"/>
  <c r="J26" i="32"/>
  <c r="CF26" i="26"/>
  <c r="CJ26" i="26" s="1"/>
  <c r="CG26" i="26"/>
  <c r="CK26" i="26" s="1"/>
  <c r="BI26" i="26"/>
  <c r="CC26" i="26" s="1"/>
  <c r="Q26" i="26"/>
  <c r="P26" i="26"/>
  <c r="U26" i="26"/>
  <c r="BD26" i="26"/>
  <c r="BX26" i="26" s="1"/>
  <c r="BE26" i="26"/>
  <c r="BY26" i="26" s="1"/>
  <c r="BA26" i="26"/>
  <c r="BU26" i="26" s="1"/>
  <c r="M26" i="26"/>
  <c r="T26" i="26"/>
  <c r="AW26" i="26"/>
  <c r="BH26" i="26"/>
  <c r="CB26" i="26" s="1"/>
  <c r="H26" i="26"/>
  <c r="AV26" i="26"/>
  <c r="BP26" i="26" s="1"/>
  <c r="I26" i="26"/>
  <c r="L26" i="26"/>
  <c r="AZ26" i="26"/>
  <c r="BT26" i="26" s="1"/>
  <c r="BO37" i="27"/>
  <c r="BP26" i="27"/>
  <c r="J41" i="32"/>
  <c r="CF41" i="26"/>
  <c r="CJ41" i="26" s="1"/>
  <c r="CG41" i="26"/>
  <c r="CK41" i="26" s="1"/>
  <c r="Q41" i="26"/>
  <c r="BA41" i="26"/>
  <c r="BU41" i="26" s="1"/>
  <c r="I41" i="26"/>
  <c r="BI41" i="26"/>
  <c r="CC41" i="26" s="1"/>
  <c r="AZ41" i="26"/>
  <c r="BT41" i="26" s="1"/>
  <c r="P41" i="26"/>
  <c r="T41" i="26"/>
  <c r="BE41" i="26"/>
  <c r="BY41" i="26" s="1"/>
  <c r="AW41" i="26"/>
  <c r="L41" i="26"/>
  <c r="M41" i="26"/>
  <c r="AV41" i="26"/>
  <c r="BP41" i="26" s="1"/>
  <c r="H41" i="26"/>
  <c r="BH41" i="26"/>
  <c r="CB41" i="26" s="1"/>
  <c r="BD41" i="26"/>
  <c r="BX41" i="26" s="1"/>
  <c r="U41" i="26"/>
  <c r="J30" i="32"/>
  <c r="CF30" i="26"/>
  <c r="CJ30" i="26" s="1"/>
  <c r="CG30" i="26"/>
  <c r="CK30" i="26" s="1"/>
  <c r="BA30" i="26"/>
  <c r="BU30" i="26" s="1"/>
  <c r="BD30" i="26"/>
  <c r="BX30" i="26" s="1"/>
  <c r="BI30" i="26"/>
  <c r="CC30" i="26" s="1"/>
  <c r="P30" i="26"/>
  <c r="T30" i="26"/>
  <c r="BE30" i="26"/>
  <c r="BY30" i="26" s="1"/>
  <c r="M30" i="26"/>
  <c r="AZ30" i="26"/>
  <c r="BT30" i="26" s="1"/>
  <c r="I30" i="26"/>
  <c r="L30" i="26"/>
  <c r="AV30" i="26"/>
  <c r="BP30" i="26" s="1"/>
  <c r="Q30" i="26"/>
  <c r="U30" i="26"/>
  <c r="AW30" i="26"/>
  <c r="H30" i="26"/>
  <c r="BH30" i="26"/>
  <c r="CB30" i="26" s="1"/>
  <c r="J40" i="32"/>
  <c r="CF40" i="26"/>
  <c r="CJ40" i="26" s="1"/>
  <c r="CG40" i="26"/>
  <c r="CK40" i="26" s="1"/>
  <c r="AZ40" i="26"/>
  <c r="BT40" i="26" s="1"/>
  <c r="BA40" i="26"/>
  <c r="BU40" i="26" s="1"/>
  <c r="P40" i="26"/>
  <c r="L40" i="26"/>
  <c r="BI40" i="26"/>
  <c r="CC40" i="26" s="1"/>
  <c r="AV40" i="26"/>
  <c r="BP40" i="26" s="1"/>
  <c r="I40" i="26"/>
  <c r="H40" i="26"/>
  <c r="T40" i="26"/>
  <c r="BD40" i="26"/>
  <c r="BX40" i="26" s="1"/>
  <c r="AW40" i="26"/>
  <c r="Q40" i="26"/>
  <c r="M40" i="26"/>
  <c r="U40" i="26"/>
  <c r="BH40" i="26"/>
  <c r="CB40" i="26" s="1"/>
  <c r="BE40" i="26"/>
  <c r="BY40" i="26" s="1"/>
  <c r="J34" i="32"/>
  <c r="CF34" i="26"/>
  <c r="CJ34" i="26" s="1"/>
  <c r="T34" i="26"/>
  <c r="CG34" i="26"/>
  <c r="CK34" i="26" s="1"/>
  <c r="L34" i="26"/>
  <c r="U34" i="26"/>
  <c r="P34" i="26"/>
  <c r="BD34" i="26"/>
  <c r="BX34" i="26" s="1"/>
  <c r="Q34" i="26"/>
  <c r="BA34" i="26"/>
  <c r="BU34" i="26" s="1"/>
  <c r="BI34" i="26"/>
  <c r="CC34" i="26" s="1"/>
  <c r="BE34" i="26"/>
  <c r="BY34" i="26" s="1"/>
  <c r="AV34" i="26"/>
  <c r="BP34" i="26" s="1"/>
  <c r="BH34" i="26"/>
  <c r="CB34" i="26" s="1"/>
  <c r="AZ34" i="26"/>
  <c r="BT34" i="26" s="1"/>
  <c r="AW34" i="26"/>
  <c r="M34" i="26"/>
  <c r="H34" i="26"/>
  <c r="I34" i="26"/>
  <c r="BP32" i="27"/>
  <c r="BP33" i="27"/>
  <c r="BP4" i="27"/>
  <c r="BO22" i="27"/>
  <c r="BO16" i="27"/>
  <c r="BP12" i="27"/>
  <c r="BO26" i="27"/>
  <c r="BP25" i="27"/>
  <c r="J31" i="32"/>
  <c r="CF31" i="26"/>
  <c r="CJ31" i="26" s="1"/>
  <c r="CG31" i="26"/>
  <c r="CK31" i="26" s="1"/>
  <c r="P31" i="26"/>
  <c r="BA31" i="26"/>
  <c r="BU31" i="26" s="1"/>
  <c r="AZ31" i="26"/>
  <c r="BT31" i="26" s="1"/>
  <c r="H31" i="26"/>
  <c r="AV31" i="26"/>
  <c r="BP31" i="26" s="1"/>
  <c r="M31" i="26"/>
  <c r="BD31" i="26"/>
  <c r="BX31" i="26" s="1"/>
  <c r="BE31" i="26"/>
  <c r="BY31" i="26" s="1"/>
  <c r="T31" i="26"/>
  <c r="BH31" i="26"/>
  <c r="CB31" i="26" s="1"/>
  <c r="U31" i="26"/>
  <c r="L31" i="26"/>
  <c r="Q31" i="26"/>
  <c r="I31" i="26"/>
  <c r="BI31" i="26"/>
  <c r="CC31" i="26" s="1"/>
  <c r="AW31" i="26"/>
  <c r="BO41" i="27"/>
  <c r="BO12" i="27"/>
  <c r="J42" i="32"/>
  <c r="CF42" i="26"/>
  <c r="CJ42" i="26" s="1"/>
  <c r="CG42" i="26"/>
  <c r="CK42" i="26" s="1"/>
  <c r="H42" i="26"/>
  <c r="BD42" i="26"/>
  <c r="BX42" i="26" s="1"/>
  <c r="I42" i="26"/>
  <c r="M42" i="26"/>
  <c r="AV42" i="26"/>
  <c r="BP42" i="26" s="1"/>
  <c r="AZ42" i="26"/>
  <c r="BT42" i="26" s="1"/>
  <c r="P42" i="26"/>
  <c r="AW42" i="26"/>
  <c r="BE42" i="26"/>
  <c r="BY42" i="26" s="1"/>
  <c r="Q42" i="26"/>
  <c r="BH42" i="26"/>
  <c r="CB42" i="26" s="1"/>
  <c r="U42" i="26"/>
  <c r="BI42" i="26"/>
  <c r="CC42" i="26" s="1"/>
  <c r="L42" i="26"/>
  <c r="T42" i="26"/>
  <c r="BA42" i="26"/>
  <c r="BU42" i="26" s="1"/>
  <c r="J37" i="32"/>
  <c r="CF37" i="26"/>
  <c r="CJ37" i="26" s="1"/>
  <c r="H37" i="26"/>
  <c r="CG37" i="26"/>
  <c r="CK37" i="26" s="1"/>
  <c r="T37" i="26"/>
  <c r="AV37" i="26"/>
  <c r="BP37" i="26" s="1"/>
  <c r="BH37" i="26"/>
  <c r="CB37" i="26" s="1"/>
  <c r="BI37" i="26"/>
  <c r="CC37" i="26" s="1"/>
  <c r="BE37" i="26"/>
  <c r="BY37" i="26" s="1"/>
  <c r="Q37" i="26"/>
  <c r="BA37" i="26"/>
  <c r="BU37" i="26" s="1"/>
  <c r="P37" i="26"/>
  <c r="AZ37" i="26"/>
  <c r="BT37" i="26" s="1"/>
  <c r="BD37" i="26"/>
  <c r="BX37" i="26" s="1"/>
  <c r="L37" i="26"/>
  <c r="AW37" i="26"/>
  <c r="I37" i="26"/>
  <c r="U37" i="26"/>
  <c r="M37" i="26"/>
  <c r="J24" i="32"/>
  <c r="CF24" i="26"/>
  <c r="CJ24" i="26" s="1"/>
  <c r="CG24" i="26"/>
  <c r="CK24" i="26" s="1"/>
  <c r="BH24" i="26"/>
  <c r="CB24" i="26" s="1"/>
  <c r="BA24" i="26"/>
  <c r="BU24" i="26" s="1"/>
  <c r="I24" i="26"/>
  <c r="BD24" i="26"/>
  <c r="BX24" i="26" s="1"/>
  <c r="AZ24" i="26"/>
  <c r="BT24" i="26" s="1"/>
  <c r="P24" i="26"/>
  <c r="BI24" i="26"/>
  <c r="CC24" i="26" s="1"/>
  <c r="Q24" i="26"/>
  <c r="BE24" i="26"/>
  <c r="BY24" i="26" s="1"/>
  <c r="M24" i="26"/>
  <c r="H24" i="26"/>
  <c r="AV24" i="26"/>
  <c r="BP24" i="26" s="1"/>
  <c r="AW24" i="26"/>
  <c r="L24" i="26"/>
  <c r="T24" i="26"/>
  <c r="U24" i="26"/>
  <c r="J20" i="32"/>
  <c r="CF20" i="26"/>
  <c r="CJ20" i="26" s="1"/>
  <c r="CG20" i="26"/>
  <c r="CK20" i="26" s="1"/>
  <c r="AZ20" i="26"/>
  <c r="BT20" i="26" s="1"/>
  <c r="U20" i="26"/>
  <c r="M20" i="26"/>
  <c r="BA20" i="26"/>
  <c r="BU20" i="26" s="1"/>
  <c r="H20" i="26"/>
  <c r="T20" i="26"/>
  <c r="BI20" i="26"/>
  <c r="CC20" i="26" s="1"/>
  <c r="AW20" i="26"/>
  <c r="BD20" i="26"/>
  <c r="BX20" i="26" s="1"/>
  <c r="L20" i="26"/>
  <c r="AV20" i="26"/>
  <c r="BP20" i="26" s="1"/>
  <c r="P20" i="26"/>
  <c r="BE20" i="26"/>
  <c r="BY20" i="26" s="1"/>
  <c r="Q20" i="26"/>
  <c r="BH20" i="26"/>
  <c r="CB20" i="26" s="1"/>
  <c r="I20" i="26"/>
  <c r="BP52" i="27"/>
  <c r="BO21" i="27"/>
  <c r="BO35" i="27"/>
  <c r="BO44" i="27"/>
  <c r="BO47" i="27"/>
  <c r="BO46" i="27"/>
  <c r="BO50" i="27"/>
  <c r="BP7" i="27"/>
  <c r="J36" i="32"/>
  <c r="CF36" i="26"/>
  <c r="CJ36" i="26" s="1"/>
  <c r="CG36" i="26"/>
  <c r="CK36" i="26" s="1"/>
  <c r="L36" i="26"/>
  <c r="T36" i="26"/>
  <c r="BA36" i="26"/>
  <c r="BU36" i="26" s="1"/>
  <c r="BE36" i="26"/>
  <c r="BY36" i="26" s="1"/>
  <c r="I36" i="26"/>
  <c r="U36" i="26"/>
  <c r="BD36" i="26"/>
  <c r="BX36" i="26" s="1"/>
  <c r="BH36" i="26"/>
  <c r="CB36" i="26" s="1"/>
  <c r="Q36" i="26"/>
  <c r="AV36" i="26"/>
  <c r="BP36" i="26" s="1"/>
  <c r="H36" i="26"/>
  <c r="BI36" i="26"/>
  <c r="CC36" i="26" s="1"/>
  <c r="AZ36" i="26"/>
  <c r="BT36" i="26" s="1"/>
  <c r="P36" i="26"/>
  <c r="AW36" i="26"/>
  <c r="M36" i="26"/>
  <c r="BO25" i="27"/>
  <c r="J21" i="32"/>
  <c r="CF21" i="26"/>
  <c r="CJ21" i="26" s="1"/>
  <c r="CG21" i="26"/>
  <c r="CK21" i="26" s="1"/>
  <c r="BE21" i="26"/>
  <c r="BY21" i="26" s="1"/>
  <c r="BI21" i="26"/>
  <c r="CC21" i="26" s="1"/>
  <c r="BD21" i="26"/>
  <c r="BX21" i="26" s="1"/>
  <c r="BA21" i="26"/>
  <c r="BU21" i="26" s="1"/>
  <c r="L21" i="26"/>
  <c r="M21" i="26"/>
  <c r="P21" i="26"/>
  <c r="Q21" i="26"/>
  <c r="AW21" i="26"/>
  <c r="T21" i="26"/>
  <c r="AV21" i="26"/>
  <c r="BP21" i="26" s="1"/>
  <c r="I21" i="26"/>
  <c r="H21" i="26"/>
  <c r="U21" i="26"/>
  <c r="AZ21" i="26"/>
  <c r="BT21" i="26" s="1"/>
  <c r="BH21" i="26"/>
  <c r="CB21" i="26" s="1"/>
  <c r="BO32" i="27"/>
  <c r="BO52" i="27"/>
  <c r="BP35" i="27"/>
  <c r="BP46" i="27"/>
  <c r="D24" i="26"/>
  <c r="Y25" i="27" s="1"/>
  <c r="J16" i="32"/>
  <c r="CF16" i="26"/>
  <c r="CJ16" i="26" s="1"/>
  <c r="CG16" i="26"/>
  <c r="CK16" i="26" s="1"/>
  <c r="BA16" i="26"/>
  <c r="BU16" i="26" s="1"/>
  <c r="U16" i="26"/>
  <c r="BE16" i="26"/>
  <c r="BY16" i="26" s="1"/>
  <c r="Q16" i="26"/>
  <c r="H16" i="26"/>
  <c r="BH16" i="26"/>
  <c r="CB16" i="26" s="1"/>
  <c r="BD16" i="26"/>
  <c r="BX16" i="26" s="1"/>
  <c r="AW16" i="26"/>
  <c r="BI16" i="26"/>
  <c r="CC16" i="26" s="1"/>
  <c r="AZ16" i="26"/>
  <c r="BT16" i="26" s="1"/>
  <c r="T16" i="26"/>
  <c r="AV16" i="26"/>
  <c r="BP16" i="26" s="1"/>
  <c r="P16" i="26"/>
  <c r="I16" i="26"/>
  <c r="L16" i="26"/>
  <c r="M16" i="26"/>
  <c r="J46" i="32"/>
  <c r="CF46" i="26"/>
  <c r="CJ46" i="26" s="1"/>
  <c r="CG46" i="26"/>
  <c r="CK46" i="26" s="1"/>
  <c r="L46" i="26"/>
  <c r="U46" i="26"/>
  <c r="M46" i="26"/>
  <c r="AW46" i="26"/>
  <c r="BH46" i="26"/>
  <c r="CB46" i="26" s="1"/>
  <c r="P46" i="26"/>
  <c r="BD46" i="26"/>
  <c r="BX46" i="26" s="1"/>
  <c r="T46" i="26"/>
  <c r="H46" i="26"/>
  <c r="BE46" i="26"/>
  <c r="BY46" i="26" s="1"/>
  <c r="Q46" i="26"/>
  <c r="I46" i="26"/>
  <c r="BI46" i="26"/>
  <c r="CC46" i="26" s="1"/>
  <c r="AV46" i="26"/>
  <c r="BP46" i="26" s="1"/>
  <c r="BA46" i="26"/>
  <c r="BU46" i="26" s="1"/>
  <c r="AZ46" i="26"/>
  <c r="BT46" i="26" s="1"/>
  <c r="BP23" i="27"/>
  <c r="BP11" i="27"/>
  <c r="BP36" i="27"/>
  <c r="BP48" i="27"/>
  <c r="BO43" i="27"/>
  <c r="E26" i="26"/>
  <c r="Z27" i="27" s="1"/>
  <c r="BP18" i="27"/>
  <c r="BO4" i="27"/>
  <c r="BP47" i="27"/>
  <c r="J23" i="32"/>
  <c r="CF23" i="26"/>
  <c r="CJ23" i="26" s="1"/>
  <c r="CG23" i="26"/>
  <c r="CK23" i="26" s="1"/>
  <c r="L23" i="26"/>
  <c r="U23" i="26"/>
  <c r="I23" i="26"/>
  <c r="BH23" i="26"/>
  <c r="CB23" i="26" s="1"/>
  <c r="BI23" i="26"/>
  <c r="CC23" i="26" s="1"/>
  <c r="AZ23" i="26"/>
  <c r="BT23" i="26" s="1"/>
  <c r="P23" i="26"/>
  <c r="M23" i="26"/>
  <c r="Q23" i="26"/>
  <c r="T23" i="26"/>
  <c r="BD23" i="26"/>
  <c r="BX23" i="26" s="1"/>
  <c r="BP23" i="26"/>
  <c r="H23" i="26"/>
  <c r="BA23" i="26"/>
  <c r="BU23" i="26" s="1"/>
  <c r="BE23" i="26"/>
  <c r="BY23" i="26" s="1"/>
  <c r="BP14" i="27"/>
  <c r="BP49" i="27"/>
  <c r="BP24" i="27"/>
  <c r="E42" i="26"/>
  <c r="Z43" i="27" s="1"/>
  <c r="D36" i="26"/>
  <c r="Y37" i="27" s="1"/>
  <c r="J14" i="32"/>
  <c r="CF14" i="26"/>
  <c r="CJ14" i="26" s="1"/>
  <c r="CG14" i="26"/>
  <c r="CK14" i="26" s="1"/>
  <c r="AV14" i="26"/>
  <c r="BP14" i="26" s="1"/>
  <c r="Q14" i="26"/>
  <c r="BH14" i="26"/>
  <c r="CB14" i="26" s="1"/>
  <c r="P14" i="26"/>
  <c r="BD14" i="26"/>
  <c r="BX14" i="26" s="1"/>
  <c r="U14" i="26"/>
  <c r="M14" i="26"/>
  <c r="BE14" i="26"/>
  <c r="BY14" i="26" s="1"/>
  <c r="L14" i="26"/>
  <c r="H14" i="26"/>
  <c r="AZ14" i="26"/>
  <c r="BT14" i="26" s="1"/>
  <c r="BA14" i="26"/>
  <c r="BU14" i="26" s="1"/>
  <c r="I14" i="26"/>
  <c r="BI14" i="26"/>
  <c r="CC14" i="26" s="1"/>
  <c r="T14" i="26"/>
  <c r="AW14" i="26"/>
  <c r="J6" i="32"/>
  <c r="CF6" i="26"/>
  <c r="CJ6" i="26" s="1"/>
  <c r="P6" i="26"/>
  <c r="CG6" i="26"/>
  <c r="CK6" i="26" s="1"/>
  <c r="H6" i="26"/>
  <c r="BD6" i="26"/>
  <c r="BX6" i="26" s="1"/>
  <c r="I6" i="26"/>
  <c r="U6" i="26"/>
  <c r="AV6" i="26"/>
  <c r="BP6" i="26" s="1"/>
  <c r="BI6" i="26"/>
  <c r="CC6" i="26" s="1"/>
  <c r="AW6" i="26"/>
  <c r="BA6" i="26"/>
  <c r="BU6" i="26" s="1"/>
  <c r="BH6" i="26"/>
  <c r="CB6" i="26" s="1"/>
  <c r="T6" i="26"/>
  <c r="L6" i="26"/>
  <c r="AZ6" i="26"/>
  <c r="BT6" i="26" s="1"/>
  <c r="BE6" i="26"/>
  <c r="BY6" i="26" s="1"/>
  <c r="Q6" i="26"/>
  <c r="M6" i="26"/>
  <c r="J38" i="32"/>
  <c r="CF38" i="26"/>
  <c r="CJ38" i="26" s="1"/>
  <c r="CG38" i="26"/>
  <c r="CK38" i="26" s="1"/>
  <c r="M38" i="26"/>
  <c r="L38" i="26"/>
  <c r="BD38" i="26"/>
  <c r="BX38" i="26" s="1"/>
  <c r="U38" i="26"/>
  <c r="H38" i="26"/>
  <c r="BI38" i="26"/>
  <c r="CC38" i="26" s="1"/>
  <c r="I38" i="26"/>
  <c r="P38" i="26"/>
  <c r="AW38" i="26"/>
  <c r="BH38" i="26"/>
  <c r="CB38" i="26" s="1"/>
  <c r="T38" i="26"/>
  <c r="BE38" i="26"/>
  <c r="BY38" i="26" s="1"/>
  <c r="AV38" i="26"/>
  <c r="BP38" i="26" s="1"/>
  <c r="Q38" i="26"/>
  <c r="AZ38" i="26"/>
  <c r="BT38" i="26" s="1"/>
  <c r="BA38" i="26"/>
  <c r="BU38" i="26" s="1"/>
  <c r="BO14" i="27"/>
  <c r="BO49" i="27"/>
  <c r="BO24" i="27"/>
  <c r="BO23" i="27"/>
  <c r="Y22" i="9"/>
  <c r="BO11" i="27"/>
  <c r="BO36" i="27"/>
  <c r="BO48" i="27"/>
  <c r="J50" i="32"/>
  <c r="CF50" i="26"/>
  <c r="CJ50" i="26" s="1"/>
  <c r="CG50" i="26"/>
  <c r="CK50" i="26" s="1"/>
  <c r="BA50" i="26"/>
  <c r="BU50" i="26" s="1"/>
  <c r="AV50" i="26"/>
  <c r="BP50" i="26" s="1"/>
  <c r="I50" i="26"/>
  <c r="BD50" i="26"/>
  <c r="BX50" i="26" s="1"/>
  <c r="T50" i="26"/>
  <c r="Q50" i="26"/>
  <c r="AW50" i="26"/>
  <c r="H50" i="26"/>
  <c r="U50" i="26"/>
  <c r="L50" i="26"/>
  <c r="BI50" i="26"/>
  <c r="CC50" i="26" s="1"/>
  <c r="BE50" i="26"/>
  <c r="BY50" i="26" s="1"/>
  <c r="P50" i="26"/>
  <c r="AZ50" i="26"/>
  <c r="BT50" i="26" s="1"/>
  <c r="M50" i="26"/>
  <c r="BH50" i="26"/>
  <c r="CB50" i="26" s="1"/>
  <c r="J33" i="32"/>
  <c r="CF33" i="26"/>
  <c r="CJ33" i="26" s="1"/>
  <c r="CG33" i="26"/>
  <c r="CK33" i="26" s="1"/>
  <c r="BH33" i="26"/>
  <c r="CB33" i="26" s="1"/>
  <c r="Q33" i="26"/>
  <c r="BD33" i="26"/>
  <c r="BX33" i="26" s="1"/>
  <c r="AW33" i="26"/>
  <c r="P33" i="26"/>
  <c r="AZ33" i="26"/>
  <c r="BT33" i="26" s="1"/>
  <c r="L33" i="26"/>
  <c r="BA33" i="26"/>
  <c r="BU33" i="26" s="1"/>
  <c r="M33" i="26"/>
  <c r="BE33" i="26"/>
  <c r="BY33" i="26" s="1"/>
  <c r="BI33" i="26"/>
  <c r="CC33" i="26" s="1"/>
  <c r="U33" i="26"/>
  <c r="H33" i="26"/>
  <c r="T33" i="26"/>
  <c r="I33" i="26"/>
  <c r="AV33" i="26"/>
  <c r="BP33" i="26" s="1"/>
  <c r="J11" i="32"/>
  <c r="CF11" i="26"/>
  <c r="CJ11" i="26" s="1"/>
  <c r="CG11" i="26"/>
  <c r="CK11" i="26" s="1"/>
  <c r="AZ11" i="26"/>
  <c r="BT11" i="26" s="1"/>
  <c r="BD11" i="26"/>
  <c r="BX11" i="26" s="1"/>
  <c r="M11" i="26"/>
  <c r="BE11" i="26"/>
  <c r="BY11" i="26" s="1"/>
  <c r="BH11" i="26"/>
  <c r="CB11" i="26" s="1"/>
  <c r="U11" i="26"/>
  <c r="P11" i="26"/>
  <c r="I11" i="26"/>
  <c r="AV11" i="26"/>
  <c r="BP11" i="26" s="1"/>
  <c r="Q11" i="26"/>
  <c r="BA11" i="26"/>
  <c r="BU11" i="26" s="1"/>
  <c r="L11" i="26"/>
  <c r="H11" i="26"/>
  <c r="T11" i="26"/>
  <c r="AW11" i="26"/>
  <c r="BI11" i="26"/>
  <c r="CC11" i="26" s="1"/>
  <c r="BP41" i="27"/>
  <c r="J25" i="32"/>
  <c r="CF25" i="26"/>
  <c r="CJ25" i="26" s="1"/>
  <c r="CG25" i="26"/>
  <c r="CK25" i="26" s="1"/>
  <c r="T25" i="26"/>
  <c r="H25" i="26"/>
  <c r="BE25" i="26"/>
  <c r="BY25" i="26" s="1"/>
  <c r="BH25" i="26"/>
  <c r="CB25" i="26" s="1"/>
  <c r="AV25" i="26"/>
  <c r="BP25" i="26" s="1"/>
  <c r="BI25" i="26"/>
  <c r="CC25" i="26" s="1"/>
  <c r="L25" i="26"/>
  <c r="U25" i="26"/>
  <c r="BD25" i="26"/>
  <c r="BX25" i="26" s="1"/>
  <c r="M25" i="26"/>
  <c r="BA25" i="26"/>
  <c r="BU25" i="26" s="1"/>
  <c r="Q25" i="26"/>
  <c r="P25" i="26"/>
  <c r="I25" i="26"/>
  <c r="AZ25" i="26"/>
  <c r="BT25" i="26" s="1"/>
  <c r="AW25" i="26"/>
  <c r="BP16" i="27"/>
  <c r="BP21" i="27"/>
  <c r="BP44" i="27"/>
  <c r="BP50" i="27"/>
  <c r="E41" i="26"/>
  <c r="Z42" i="27" s="1"/>
  <c r="D42" i="26"/>
  <c r="Y43" i="27" s="1"/>
  <c r="J29" i="32"/>
  <c r="CF29" i="26"/>
  <c r="CJ29" i="26" s="1"/>
  <c r="CG29" i="26"/>
  <c r="CK29" i="26" s="1"/>
  <c r="U29" i="26"/>
  <c r="AV29" i="26"/>
  <c r="BP29" i="26" s="1"/>
  <c r="BH29" i="26"/>
  <c r="CB29" i="26" s="1"/>
  <c r="I29" i="26"/>
  <c r="H29" i="26"/>
  <c r="BD29" i="26"/>
  <c r="BX29" i="26" s="1"/>
  <c r="AZ29" i="26"/>
  <c r="BT29" i="26" s="1"/>
  <c r="Q29" i="26"/>
  <c r="M29" i="26"/>
  <c r="P29" i="26"/>
  <c r="BE29" i="26"/>
  <c r="BY29" i="26" s="1"/>
  <c r="AW29" i="26"/>
  <c r="BA29" i="26"/>
  <c r="BU29" i="26" s="1"/>
  <c r="L29" i="26"/>
  <c r="T29" i="26"/>
  <c r="BI29" i="26"/>
  <c r="CC29" i="26" s="1"/>
  <c r="J17" i="32"/>
  <c r="CF17" i="26"/>
  <c r="CJ17" i="26" s="1"/>
  <c r="CG17" i="26"/>
  <c r="CK17" i="26" s="1"/>
  <c r="L17" i="26"/>
  <c r="BH17" i="26"/>
  <c r="CB17" i="26" s="1"/>
  <c r="AZ17" i="26"/>
  <c r="BT17" i="26" s="1"/>
  <c r="H17" i="26"/>
  <c r="M17" i="26"/>
  <c r="Q17" i="26"/>
  <c r="BI17" i="26"/>
  <c r="CC17" i="26" s="1"/>
  <c r="T17" i="26"/>
  <c r="P17" i="26"/>
  <c r="AV17" i="26"/>
  <c r="BP17" i="26" s="1"/>
  <c r="BD17" i="26"/>
  <c r="BX17" i="26" s="1"/>
  <c r="BE17" i="26"/>
  <c r="BY17" i="26" s="1"/>
  <c r="I17" i="26"/>
  <c r="BA17" i="26"/>
  <c r="BU17" i="26" s="1"/>
  <c r="AW17" i="26"/>
  <c r="U17" i="26"/>
  <c r="J44" i="32"/>
  <c r="CF44" i="26"/>
  <c r="CJ44" i="26" s="1"/>
  <c r="CG44" i="26"/>
  <c r="CK44" i="26" s="1"/>
  <c r="BI44" i="26"/>
  <c r="CC44" i="26" s="1"/>
  <c r="BD44" i="26"/>
  <c r="BX44" i="26" s="1"/>
  <c r="BE44" i="26"/>
  <c r="BY44" i="26" s="1"/>
  <c r="M44" i="26"/>
  <c r="T44" i="26"/>
  <c r="AW44" i="26"/>
  <c r="H44" i="26"/>
  <c r="L44" i="26"/>
  <c r="Q44" i="26"/>
  <c r="U44" i="26"/>
  <c r="I44" i="26"/>
  <c r="BH44" i="26"/>
  <c r="CB44" i="26" s="1"/>
  <c r="AV44" i="26"/>
  <c r="BP44" i="26" s="1"/>
  <c r="P44" i="26"/>
  <c r="AZ44" i="26"/>
  <c r="BT44" i="26" s="1"/>
  <c r="BA44" i="26"/>
  <c r="BU44" i="26" s="1"/>
  <c r="BP9" i="27"/>
  <c r="BO34" i="27"/>
  <c r="BO15" i="27"/>
  <c r="BP38" i="27"/>
  <c r="BO13" i="27"/>
  <c r="BP39" i="27"/>
  <c r="BO19" i="27"/>
  <c r="BP22" i="27"/>
  <c r="BO9" i="27"/>
  <c r="BO39" i="27"/>
  <c r="BP19" i="27"/>
  <c r="BP30" i="27"/>
  <c r="BO29" i="27"/>
  <c r="BP5" i="27"/>
  <c r="BP45" i="27"/>
  <c r="BP40" i="27"/>
  <c r="BP37" i="27"/>
  <c r="BO51" i="27"/>
  <c r="BP43" i="27"/>
  <c r="D26" i="26"/>
  <c r="Y27" i="27" s="1"/>
  <c r="J9" i="32"/>
  <c r="CF9" i="26"/>
  <c r="CJ9" i="26" s="1"/>
  <c r="CG9" i="26"/>
  <c r="CK9" i="26" s="1"/>
  <c r="BH9" i="26"/>
  <c r="CB9" i="26" s="1"/>
  <c r="L9" i="26"/>
  <c r="U9" i="26"/>
  <c r="BA9" i="26"/>
  <c r="BU9" i="26" s="1"/>
  <c r="I9" i="26"/>
  <c r="M9" i="26"/>
  <c r="BE9" i="26"/>
  <c r="BY9" i="26" s="1"/>
  <c r="H9" i="26"/>
  <c r="BD9" i="26"/>
  <c r="BX9" i="26" s="1"/>
  <c r="T9" i="26"/>
  <c r="AZ9" i="26"/>
  <c r="BT9" i="26" s="1"/>
  <c r="BI9" i="26"/>
  <c r="CC9" i="26" s="1"/>
  <c r="Q9" i="26"/>
  <c r="P9" i="26"/>
  <c r="AW9" i="26"/>
  <c r="AV9" i="26"/>
  <c r="BP9" i="26" s="1"/>
  <c r="J18" i="32"/>
  <c r="CF18" i="26"/>
  <c r="CJ18" i="26" s="1"/>
  <c r="CG18" i="26"/>
  <c r="CK18" i="26" s="1"/>
  <c r="Q18" i="26"/>
  <c r="L18" i="26"/>
  <c r="H18" i="26"/>
  <c r="BA18" i="26"/>
  <c r="BU18" i="26" s="1"/>
  <c r="AZ18" i="26"/>
  <c r="BT18" i="26" s="1"/>
  <c r="AV18" i="26"/>
  <c r="BP18" i="26" s="1"/>
  <c r="M18" i="26"/>
  <c r="BH18" i="26"/>
  <c r="CB18" i="26" s="1"/>
  <c r="BI18" i="26"/>
  <c r="CC18" i="26" s="1"/>
  <c r="BE18" i="26"/>
  <c r="BY18" i="26" s="1"/>
  <c r="P18" i="26"/>
  <c r="AW18" i="26"/>
  <c r="T18" i="26"/>
  <c r="U18" i="26"/>
  <c r="I18" i="26"/>
  <c r="BD18" i="26"/>
  <c r="BX18" i="26" s="1"/>
  <c r="J32" i="32"/>
  <c r="CF32" i="26"/>
  <c r="CJ32" i="26" s="1"/>
  <c r="CG32" i="26"/>
  <c r="CK32" i="26" s="1"/>
  <c r="Q32" i="26"/>
  <c r="AV32" i="26"/>
  <c r="BP32" i="26" s="1"/>
  <c r="T32" i="26"/>
  <c r="U32" i="26"/>
  <c r="BI32" i="26"/>
  <c r="CC32" i="26" s="1"/>
  <c r="BE32" i="26"/>
  <c r="BY32" i="26" s="1"/>
  <c r="BA32" i="26"/>
  <c r="BU32" i="26" s="1"/>
  <c r="AZ32" i="26"/>
  <c r="BT32" i="26" s="1"/>
  <c r="L32" i="26"/>
  <c r="I32" i="26"/>
  <c r="BH32" i="26"/>
  <c r="CB32" i="26" s="1"/>
  <c r="P32" i="26"/>
  <c r="AW32" i="26"/>
  <c r="BD32" i="26"/>
  <c r="BX32" i="26" s="1"/>
  <c r="M32" i="26"/>
  <c r="H32" i="26"/>
  <c r="J28" i="32"/>
  <c r="CF28" i="26"/>
  <c r="CJ28" i="26" s="1"/>
  <c r="CG28" i="26"/>
  <c r="CK28" i="26" s="1"/>
  <c r="T28" i="26"/>
  <c r="AV28" i="26"/>
  <c r="BP28" i="26" s="1"/>
  <c r="Q28" i="26"/>
  <c r="M28" i="26"/>
  <c r="BI28" i="26"/>
  <c r="CC28" i="26" s="1"/>
  <c r="AW28" i="26"/>
  <c r="U28" i="26"/>
  <c r="P28" i="26"/>
  <c r="BD28" i="26"/>
  <c r="BX28" i="26" s="1"/>
  <c r="L28" i="26"/>
  <c r="H28" i="26"/>
  <c r="I28" i="26"/>
  <c r="BE28" i="26"/>
  <c r="BY28" i="26" s="1"/>
  <c r="BA28" i="26"/>
  <c r="BU28" i="26" s="1"/>
  <c r="BH28" i="26"/>
  <c r="CB28" i="26" s="1"/>
  <c r="AZ28" i="26"/>
  <c r="BT28" i="26" s="1"/>
  <c r="J13" i="32"/>
  <c r="CF13" i="26"/>
  <c r="CJ13" i="26" s="1"/>
  <c r="CG13" i="26"/>
  <c r="CK13" i="26" s="1"/>
  <c r="AV13" i="26"/>
  <c r="BP13" i="26" s="1"/>
  <c r="Q13" i="26"/>
  <c r="BA13" i="26"/>
  <c r="BU13" i="26" s="1"/>
  <c r="BI13" i="26"/>
  <c r="CC13" i="26" s="1"/>
  <c r="T13" i="26"/>
  <c r="BE13" i="26"/>
  <c r="BY13" i="26" s="1"/>
  <c r="P13" i="26"/>
  <c r="AW13" i="26"/>
  <c r="L13" i="26"/>
  <c r="AZ13" i="26"/>
  <c r="BT13" i="26" s="1"/>
  <c r="M13" i="26"/>
  <c r="BH13" i="26"/>
  <c r="CB13" i="26" s="1"/>
  <c r="I13" i="26"/>
  <c r="BD13" i="26"/>
  <c r="BX13" i="26" s="1"/>
  <c r="U13" i="26"/>
  <c r="H13" i="26"/>
  <c r="E32" i="26"/>
  <c r="Z33" i="27" s="1"/>
  <c r="J47" i="32"/>
  <c r="CF47" i="26"/>
  <c r="CJ47" i="26" s="1"/>
  <c r="CG47" i="26"/>
  <c r="CK47" i="26" s="1"/>
  <c r="BD47" i="26"/>
  <c r="BX47" i="26" s="1"/>
  <c r="Q47" i="26"/>
  <c r="AV47" i="26"/>
  <c r="BP47" i="26" s="1"/>
  <c r="H47" i="26"/>
  <c r="U47" i="26"/>
  <c r="L47" i="26"/>
  <c r="BI47" i="26"/>
  <c r="CC47" i="26" s="1"/>
  <c r="M47" i="26"/>
  <c r="P47" i="26"/>
  <c r="I47" i="26"/>
  <c r="AW47" i="26"/>
  <c r="BA47" i="26"/>
  <c r="BU47" i="26" s="1"/>
  <c r="T47" i="26"/>
  <c r="AZ47" i="26"/>
  <c r="BT47" i="26" s="1"/>
  <c r="BH47" i="26"/>
  <c r="CB47" i="26" s="1"/>
  <c r="BE47" i="26"/>
  <c r="BY47" i="26" s="1"/>
  <c r="BP15" i="27"/>
  <c r="BO31" i="27"/>
  <c r="E20" i="26"/>
  <c r="Z21" i="27" s="1"/>
  <c r="CF3" i="26"/>
  <c r="CJ3" i="26" s="1"/>
  <c r="CG3" i="26"/>
  <c r="CK3" i="26" s="1"/>
  <c r="AV3" i="26"/>
  <c r="BP3" i="26" s="1"/>
  <c r="T3" i="26"/>
  <c r="L3" i="26"/>
  <c r="BE3" i="26"/>
  <c r="BY3" i="26" s="1"/>
  <c r="I3" i="26"/>
  <c r="AZ3" i="26"/>
  <c r="BT3" i="26" s="1"/>
  <c r="BH3" i="26"/>
  <c r="CB3" i="26" s="1"/>
  <c r="AW3" i="26"/>
  <c r="H3" i="26"/>
  <c r="U3" i="26"/>
  <c r="Q3" i="26"/>
  <c r="BA3" i="26"/>
  <c r="BU3" i="26" s="1"/>
  <c r="BI3" i="26"/>
  <c r="CC3" i="26" s="1"/>
  <c r="BD3" i="26"/>
  <c r="BX3" i="26" s="1"/>
  <c r="M3" i="26"/>
  <c r="P3" i="26"/>
  <c r="BO30" i="27"/>
  <c r="BP29" i="27"/>
  <c r="BO5" i="27"/>
  <c r="BO45" i="27"/>
  <c r="BO40" i="27"/>
  <c r="J35" i="32"/>
  <c r="CF35" i="26"/>
  <c r="CJ35" i="26" s="1"/>
  <c r="CG35" i="26"/>
  <c r="CK35" i="26" s="1"/>
  <c r="BH35" i="26"/>
  <c r="CB35" i="26" s="1"/>
  <c r="AV35" i="26"/>
  <c r="BP35" i="26" s="1"/>
  <c r="L35" i="26"/>
  <c r="M35" i="26"/>
  <c r="P35" i="26"/>
  <c r="I35" i="26"/>
  <c r="U35" i="26"/>
  <c r="BD35" i="26"/>
  <c r="BX35" i="26" s="1"/>
  <c r="BA35" i="26"/>
  <c r="BU35" i="26" s="1"/>
  <c r="Q35" i="26"/>
  <c r="BI35" i="26"/>
  <c r="CC35" i="26" s="1"/>
  <c r="AZ35" i="26"/>
  <c r="BT35" i="26" s="1"/>
  <c r="H35" i="26"/>
  <c r="BE35" i="26"/>
  <c r="BY35" i="26" s="1"/>
  <c r="AW35" i="26"/>
  <c r="T35" i="26"/>
  <c r="BO18" i="27"/>
  <c r="BO7" i="27"/>
  <c r="J49" i="32"/>
  <c r="CF49" i="26"/>
  <c r="CJ49" i="26" s="1"/>
  <c r="H57" i="31"/>
  <c r="CG49" i="26"/>
  <c r="CK49" i="26" s="1"/>
  <c r="BE49" i="26"/>
  <c r="BY49" i="26" s="1"/>
  <c r="T49" i="26"/>
  <c r="L49" i="26"/>
  <c r="H49" i="26"/>
  <c r="BI49" i="26"/>
  <c r="CC49" i="26" s="1"/>
  <c r="BD49" i="26"/>
  <c r="BX49" i="26" s="1"/>
  <c r="BH49" i="26"/>
  <c r="CB49" i="26" s="1"/>
  <c r="I49" i="26"/>
  <c r="M49" i="26"/>
  <c r="Q49" i="26"/>
  <c r="U49" i="26"/>
  <c r="AV49" i="26"/>
  <c r="BP49" i="26" s="1"/>
  <c r="AZ49" i="26"/>
  <c r="BT49" i="26" s="1"/>
  <c r="P49" i="26"/>
  <c r="BA49" i="26"/>
  <c r="BU49" i="26" s="1"/>
  <c r="AW49" i="26"/>
  <c r="BO33" i="27"/>
  <c r="J15" i="32"/>
  <c r="CF15" i="26"/>
  <c r="CJ15" i="26" s="1"/>
  <c r="CG15" i="26"/>
  <c r="CK15" i="26" s="1"/>
  <c r="AZ15" i="26"/>
  <c r="BT15" i="26" s="1"/>
  <c r="P15" i="26"/>
  <c r="U15" i="26"/>
  <c r="BI15" i="26"/>
  <c r="CC15" i="26" s="1"/>
  <c r="BD15" i="26"/>
  <c r="BX15" i="26" s="1"/>
  <c r="T15" i="26"/>
  <c r="H15" i="26"/>
  <c r="BE15" i="26"/>
  <c r="BY15" i="26" s="1"/>
  <c r="I15" i="26"/>
  <c r="AV15" i="26"/>
  <c r="BP15" i="26" s="1"/>
  <c r="BA15" i="26"/>
  <c r="BU15" i="26" s="1"/>
  <c r="L15" i="26"/>
  <c r="Q15" i="26"/>
  <c r="AW15" i="26"/>
  <c r="M15" i="26"/>
  <c r="BH15" i="26"/>
  <c r="CB15" i="26" s="1"/>
  <c r="J19" i="32"/>
  <c r="CF19" i="26"/>
  <c r="CJ19" i="26" s="1"/>
  <c r="CG19" i="26"/>
  <c r="CK19" i="26" s="1"/>
  <c r="BA19" i="26"/>
  <c r="BU19" i="26" s="1"/>
  <c r="Q19" i="26"/>
  <c r="P19" i="26"/>
  <c r="AZ19" i="26"/>
  <c r="BT19" i="26" s="1"/>
  <c r="BE19" i="26"/>
  <c r="BY19" i="26" s="1"/>
  <c r="H19" i="26"/>
  <c r="I19" i="26"/>
  <c r="L19" i="26"/>
  <c r="M19" i="26"/>
  <c r="U19" i="26"/>
  <c r="AW19" i="26"/>
  <c r="BH19" i="26"/>
  <c r="CB19" i="26" s="1"/>
  <c r="BD19" i="26"/>
  <c r="BX19" i="26" s="1"/>
  <c r="T19" i="26"/>
  <c r="AV19" i="26"/>
  <c r="BP19" i="26" s="1"/>
  <c r="BI19" i="26"/>
  <c r="CC19" i="26" s="1"/>
  <c r="J45" i="32"/>
  <c r="CF45" i="26"/>
  <c r="CJ45" i="26" s="1"/>
  <c r="CG45" i="26"/>
  <c r="CK45" i="26" s="1"/>
  <c r="BA45" i="26"/>
  <c r="BU45" i="26" s="1"/>
  <c r="BI45" i="26"/>
  <c r="CC45" i="26" s="1"/>
  <c r="T45" i="26"/>
  <c r="AW45" i="26"/>
  <c r="H45" i="26"/>
  <c r="P45" i="26"/>
  <c r="M45" i="26"/>
  <c r="AV45" i="26"/>
  <c r="BP45" i="26" s="1"/>
  <c r="BE45" i="26"/>
  <c r="BY45" i="26" s="1"/>
  <c r="Q45" i="26"/>
  <c r="AZ45" i="26"/>
  <c r="BT45" i="26" s="1"/>
  <c r="L45" i="26"/>
  <c r="BH45" i="26"/>
  <c r="CB45" i="26" s="1"/>
  <c r="U45" i="26"/>
  <c r="I45" i="26"/>
  <c r="BD45" i="26"/>
  <c r="BX45" i="26" s="1"/>
  <c r="BP34" i="27"/>
  <c r="BO38" i="27"/>
  <c r="D20" i="26"/>
  <c r="Y21" i="27" s="1"/>
  <c r="J39" i="32"/>
  <c r="CF39" i="26"/>
  <c r="CJ39" i="26" s="1"/>
  <c r="CG39" i="26"/>
  <c r="CK39" i="26" s="1"/>
  <c r="U39" i="26"/>
  <c r="Q39" i="26"/>
  <c r="AZ39" i="26"/>
  <c r="BT39" i="26" s="1"/>
  <c r="L39" i="26"/>
  <c r="BD39" i="26"/>
  <c r="BX39" i="26" s="1"/>
  <c r="BA39" i="26"/>
  <c r="BU39" i="26" s="1"/>
  <c r="AW39" i="26"/>
  <c r="M39" i="26"/>
  <c r="BI39" i="26"/>
  <c r="CC39" i="26" s="1"/>
  <c r="BE39" i="26"/>
  <c r="BY39" i="26" s="1"/>
  <c r="BH39" i="26"/>
  <c r="CB39" i="26" s="1"/>
  <c r="H39" i="26"/>
  <c r="P39" i="26"/>
  <c r="I39" i="26"/>
  <c r="T39" i="26"/>
  <c r="AV39" i="26"/>
  <c r="BP39" i="26" s="1"/>
  <c r="BP10" i="27"/>
  <c r="BP31" i="27"/>
  <c r="D37" i="26"/>
  <c r="Y38" i="27" s="1"/>
  <c r="J48" i="32"/>
  <c r="CF48" i="26"/>
  <c r="CJ48" i="26" s="1"/>
  <c r="CG48" i="26"/>
  <c r="CK48" i="26" s="1"/>
  <c r="T48" i="26"/>
  <c r="BI48" i="26"/>
  <c r="CC48" i="26" s="1"/>
  <c r="I48" i="26"/>
  <c r="AV48" i="26"/>
  <c r="BP48" i="26" s="1"/>
  <c r="BA48" i="26"/>
  <c r="BU48" i="26" s="1"/>
  <c r="L48" i="26"/>
  <c r="BD48" i="26"/>
  <c r="BX48" i="26" s="1"/>
  <c r="U48" i="26"/>
  <c r="BE48" i="26"/>
  <c r="BY48" i="26" s="1"/>
  <c r="H48" i="26"/>
  <c r="Q48" i="26"/>
  <c r="AW48" i="26"/>
  <c r="M48" i="26"/>
  <c r="AZ48" i="26"/>
  <c r="BT48" i="26" s="1"/>
  <c r="P48" i="26"/>
  <c r="BH48" i="26"/>
  <c r="CB48" i="26" s="1"/>
  <c r="J43" i="32"/>
  <c r="CF43" i="26"/>
  <c r="CJ43" i="26" s="1"/>
  <c r="CG43" i="26"/>
  <c r="CK43" i="26" s="1"/>
  <c r="AW43" i="26"/>
  <c r="I43" i="26"/>
  <c r="Q43" i="26"/>
  <c r="T43" i="26"/>
  <c r="BI43" i="26"/>
  <c r="CC43" i="26" s="1"/>
  <c r="BH43" i="26"/>
  <c r="CB43" i="26" s="1"/>
  <c r="BA43" i="26"/>
  <c r="BU43" i="26" s="1"/>
  <c r="M43" i="26"/>
  <c r="AZ43" i="26"/>
  <c r="BT43" i="26" s="1"/>
  <c r="BE43" i="26"/>
  <c r="BY43" i="26" s="1"/>
  <c r="H43" i="26"/>
  <c r="U43" i="26"/>
  <c r="L43" i="26"/>
  <c r="AV43" i="26"/>
  <c r="BP43" i="26" s="1"/>
  <c r="P43" i="26"/>
  <c r="BD43" i="26"/>
  <c r="BX43" i="26" s="1"/>
  <c r="BP28" i="27"/>
  <c r="BO42" i="27"/>
  <c r="BP20" i="27"/>
  <c r="BP17" i="27"/>
  <c r="BP8" i="27"/>
  <c r="BO6" i="27"/>
  <c r="BO27" i="27"/>
  <c r="BP13" i="27"/>
  <c r="D40" i="26"/>
  <c r="Y41" i="27" s="1"/>
  <c r="J51" i="32"/>
  <c r="CF51" i="26"/>
  <c r="CJ51" i="26" s="1"/>
  <c r="CG51" i="26"/>
  <c r="CK51" i="26" s="1"/>
  <c r="BD51" i="26"/>
  <c r="BX51" i="26" s="1"/>
  <c r="L51" i="26"/>
  <c r="H51" i="26"/>
  <c r="AW51" i="26"/>
  <c r="BQ51" i="26" s="1"/>
  <c r="BE51" i="26"/>
  <c r="BY51" i="26" s="1"/>
  <c r="T51" i="26"/>
  <c r="I51" i="26"/>
  <c r="BA51" i="26"/>
  <c r="BU51" i="26" s="1"/>
  <c r="AV51" i="26"/>
  <c r="BP51" i="26" s="1"/>
  <c r="Q51" i="26"/>
  <c r="M51" i="26"/>
  <c r="BH51" i="26"/>
  <c r="CB51" i="26" s="1"/>
  <c r="U51" i="26"/>
  <c r="P51" i="26"/>
  <c r="AZ51" i="26"/>
  <c r="BT51" i="26" s="1"/>
  <c r="BI51" i="26"/>
  <c r="CC51" i="26" s="1"/>
  <c r="J10" i="32"/>
  <c r="CF10" i="26"/>
  <c r="CJ10" i="26" s="1"/>
  <c r="CG10" i="26"/>
  <c r="CK10" i="26" s="1"/>
  <c r="BI10" i="26"/>
  <c r="CC10" i="26" s="1"/>
  <c r="BE10" i="26"/>
  <c r="BY10" i="26" s="1"/>
  <c r="AV10" i="26"/>
  <c r="BP10" i="26" s="1"/>
  <c r="BD10" i="26"/>
  <c r="BX10" i="26" s="1"/>
  <c r="U10" i="26"/>
  <c r="I10" i="26"/>
  <c r="AZ10" i="26"/>
  <c r="BT10" i="26" s="1"/>
  <c r="L10" i="26"/>
  <c r="M10" i="26"/>
  <c r="H10" i="26"/>
  <c r="BA10" i="26"/>
  <c r="BU10" i="26" s="1"/>
  <c r="BH10" i="26"/>
  <c r="CB10" i="26" s="1"/>
  <c r="P10" i="26"/>
  <c r="AW10" i="26"/>
  <c r="Q10" i="26"/>
  <c r="T10" i="26"/>
  <c r="E40" i="26"/>
  <c r="Z41" i="27" s="1"/>
  <c r="J12" i="32"/>
  <c r="CF12" i="26"/>
  <c r="CJ12" i="26" s="1"/>
  <c r="CG12" i="26"/>
  <c r="CK12" i="26" s="1"/>
  <c r="T12" i="26"/>
  <c r="H12" i="26"/>
  <c r="BI12" i="26"/>
  <c r="CC12" i="26" s="1"/>
  <c r="AV12" i="26"/>
  <c r="BP12" i="26" s="1"/>
  <c r="BE12" i="26"/>
  <c r="BY12" i="26" s="1"/>
  <c r="P12" i="26"/>
  <c r="U12" i="26"/>
  <c r="AZ12" i="26"/>
  <c r="BT12" i="26" s="1"/>
  <c r="AW12" i="26"/>
  <c r="Q12" i="26"/>
  <c r="I12" i="26"/>
  <c r="BD12" i="26"/>
  <c r="BX12" i="26" s="1"/>
  <c r="BH12" i="26"/>
  <c r="CB12" i="26" s="1"/>
  <c r="BA12" i="26"/>
  <c r="BU12" i="26" s="1"/>
  <c r="L12" i="26"/>
  <c r="M12" i="26"/>
  <c r="BO10" i="27"/>
  <c r="E31" i="26"/>
  <c r="Z32" i="27" s="1"/>
  <c r="J4" i="32"/>
  <c r="CF4" i="26"/>
  <c r="CJ4" i="26" s="1"/>
  <c r="CG4" i="26"/>
  <c r="CK4" i="26" s="1"/>
  <c r="I4" i="26"/>
  <c r="L4" i="26"/>
  <c r="H4" i="26"/>
  <c r="BH4" i="26"/>
  <c r="CB4" i="26" s="1"/>
  <c r="U4" i="26"/>
  <c r="AZ4" i="26"/>
  <c r="BT4" i="26" s="1"/>
  <c r="BE4" i="26"/>
  <c r="BY4" i="26" s="1"/>
  <c r="BD4" i="26"/>
  <c r="BX4" i="26" s="1"/>
  <c r="AV4" i="26"/>
  <c r="BP4" i="26" s="1"/>
  <c r="BA4" i="26"/>
  <c r="BU4" i="26" s="1"/>
  <c r="T4" i="26"/>
  <c r="Q4" i="26"/>
  <c r="AW4" i="26"/>
  <c r="BI4" i="26"/>
  <c r="CC4" i="26" s="1"/>
  <c r="M4" i="26"/>
  <c r="P4" i="26"/>
  <c r="E21" i="26"/>
  <c r="Z22" i="27" s="1"/>
  <c r="E37" i="26"/>
  <c r="Z38" i="27" s="1"/>
  <c r="J27" i="32"/>
  <c r="CF27" i="26"/>
  <c r="CJ27" i="26" s="1"/>
  <c r="CG27" i="26"/>
  <c r="CK27" i="26" s="1"/>
  <c r="P27" i="26"/>
  <c r="BD27" i="26"/>
  <c r="BX27" i="26" s="1"/>
  <c r="H27" i="26"/>
  <c r="BA27" i="26"/>
  <c r="BU27" i="26" s="1"/>
  <c r="AZ27" i="26"/>
  <c r="BT27" i="26" s="1"/>
  <c r="T27" i="26"/>
  <c r="AV27" i="26"/>
  <c r="BP27" i="26" s="1"/>
  <c r="BI27" i="26"/>
  <c r="CC27" i="26" s="1"/>
  <c r="M27" i="26"/>
  <c r="L27" i="26"/>
  <c r="AW27" i="26"/>
  <c r="BH27" i="26"/>
  <c r="CB27" i="26" s="1"/>
  <c r="BE27" i="26"/>
  <c r="BY27" i="26" s="1"/>
  <c r="Q27" i="26"/>
  <c r="U27" i="26"/>
  <c r="I27" i="26"/>
  <c r="J5" i="32"/>
  <c r="CF5" i="26"/>
  <c r="CJ5" i="26" s="1"/>
  <c r="CG5" i="26"/>
  <c r="CK5" i="26" s="1"/>
  <c r="AV5" i="26"/>
  <c r="BP5" i="26" s="1"/>
  <c r="H5" i="26"/>
  <c r="AZ5" i="26"/>
  <c r="BT5" i="26" s="1"/>
  <c r="Q5" i="26"/>
  <c r="M5" i="26"/>
  <c r="BE5" i="26"/>
  <c r="BY5" i="26" s="1"/>
  <c r="T5" i="26"/>
  <c r="AW5" i="26"/>
  <c r="L5" i="26"/>
  <c r="I5" i="26"/>
  <c r="P5" i="26"/>
  <c r="BD5" i="26"/>
  <c r="BX5" i="26" s="1"/>
  <c r="U5" i="26"/>
  <c r="BI5" i="26"/>
  <c r="CC5" i="26" s="1"/>
  <c r="BA5" i="26"/>
  <c r="BU5" i="26" s="1"/>
  <c r="BH5" i="26"/>
  <c r="CB5" i="26" s="1"/>
  <c r="J7" i="32"/>
  <c r="CF7" i="26"/>
  <c r="CJ7" i="26" s="1"/>
  <c r="CG7" i="26"/>
  <c r="CK7" i="26" s="1"/>
  <c r="M7" i="26"/>
  <c r="BH7" i="26"/>
  <c r="CB7" i="26" s="1"/>
  <c r="P7" i="26"/>
  <c r="AZ7" i="26"/>
  <c r="BT7" i="26" s="1"/>
  <c r="H7" i="26"/>
  <c r="Q7" i="26"/>
  <c r="BE7" i="26"/>
  <c r="BY7" i="26" s="1"/>
  <c r="U7" i="26"/>
  <c r="AW7" i="26"/>
  <c r="L7" i="26"/>
  <c r="I7" i="26"/>
  <c r="BI7" i="26"/>
  <c r="CC7" i="26" s="1"/>
  <c r="AV7" i="26"/>
  <c r="BP7" i="26" s="1"/>
  <c r="BD7" i="26"/>
  <c r="BX7" i="26" s="1"/>
  <c r="T7" i="26"/>
  <c r="BA7" i="26"/>
  <c r="BU7" i="26" s="1"/>
  <c r="J8" i="32"/>
  <c r="CF8" i="26"/>
  <c r="CJ8" i="26" s="1"/>
  <c r="CG8" i="26"/>
  <c r="CK8" i="26" s="1"/>
  <c r="I8" i="26"/>
  <c r="AZ8" i="26"/>
  <c r="BT8" i="26" s="1"/>
  <c r="AV8" i="26"/>
  <c r="BP8" i="26" s="1"/>
  <c r="P8" i="26"/>
  <c r="BA8" i="26"/>
  <c r="BU8" i="26" s="1"/>
  <c r="Q8" i="26"/>
  <c r="U8" i="26"/>
  <c r="BE8" i="26"/>
  <c r="BY8" i="26" s="1"/>
  <c r="AW8" i="26"/>
  <c r="T8" i="26"/>
  <c r="BI8" i="26"/>
  <c r="CC8" i="26" s="1"/>
  <c r="L8" i="26"/>
  <c r="BH8" i="26"/>
  <c r="CB8" i="26" s="1"/>
  <c r="M8" i="26"/>
  <c r="BD8" i="26"/>
  <c r="BX8" i="26" s="1"/>
  <c r="H8" i="26"/>
  <c r="BO28" i="27"/>
  <c r="BP42" i="27"/>
  <c r="BO20" i="27"/>
  <c r="BO17" i="27"/>
  <c r="BO8" i="27"/>
  <c r="BP6" i="27"/>
  <c r="BP27" i="27"/>
  <c r="J2" i="32"/>
  <c r="CF2" i="26"/>
  <c r="CJ2" i="26" s="1"/>
  <c r="CG2" i="26"/>
  <c r="CK2" i="26" s="1"/>
  <c r="M2" i="26"/>
  <c r="BE2" i="26"/>
  <c r="BY2" i="26" s="1"/>
  <c r="L2" i="26"/>
  <c r="P2" i="26"/>
  <c r="AV2" i="26"/>
  <c r="BP2" i="26" s="1"/>
  <c r="BA2" i="26"/>
  <c r="BU2" i="26" s="1"/>
  <c r="T2" i="26"/>
  <c r="BH2" i="26"/>
  <c r="CB2" i="26" s="1"/>
  <c r="D2" i="26"/>
  <c r="BI2" i="26"/>
  <c r="CC2" i="26" s="1"/>
  <c r="AW2" i="26"/>
  <c r="BQ2" i="26" s="1"/>
  <c r="E2" i="26"/>
  <c r="BD2" i="26"/>
  <c r="BX2" i="26" s="1"/>
  <c r="U2" i="26"/>
  <c r="M2" i="9" s="1"/>
  <c r="AZ2" i="26"/>
  <c r="H2" i="26"/>
  <c r="Q2" i="26"/>
  <c r="H61" i="31"/>
  <c r="AM4" i="29"/>
  <c r="AM46" i="29"/>
  <c r="AM47" i="29"/>
  <c r="AM18" i="29"/>
  <c r="AM51" i="29"/>
  <c r="AM43" i="29"/>
  <c r="AM3" i="29"/>
  <c r="AM12" i="29"/>
  <c r="AM19" i="29"/>
  <c r="AM8" i="29"/>
  <c r="AM42" i="29"/>
  <c r="AM22" i="29"/>
  <c r="AM49" i="29"/>
  <c r="AM16" i="29"/>
  <c r="AM5" i="29"/>
  <c r="AM9" i="29"/>
  <c r="AM26" i="29"/>
  <c r="AM40" i="29"/>
  <c r="AM48" i="29"/>
  <c r="AM44" i="29"/>
  <c r="AM7" i="29"/>
  <c r="AM23" i="29"/>
  <c r="AM29" i="29"/>
  <c r="AB15" i="27"/>
  <c r="BR38" i="26"/>
  <c r="BZ38" i="26"/>
  <c r="CD38" i="26"/>
  <c r="BV38" i="26"/>
  <c r="BK3" i="27"/>
  <c r="CD30" i="26"/>
  <c r="BR30" i="26"/>
  <c r="BZ30" i="26"/>
  <c r="BV30" i="26"/>
  <c r="AB10" i="27"/>
  <c r="AB30" i="27"/>
  <c r="Z28" i="26"/>
  <c r="BV28" i="26"/>
  <c r="CD28" i="26"/>
  <c r="BZ28" i="26"/>
  <c r="BR28" i="26"/>
  <c r="AB5" i="27"/>
  <c r="AB45" i="27"/>
  <c r="AB40" i="27"/>
  <c r="AE3" i="27"/>
  <c r="AD2" i="26"/>
  <c r="AB9" i="27"/>
  <c r="Z14" i="26"/>
  <c r="CD14" i="26"/>
  <c r="BV14" i="26"/>
  <c r="BZ14" i="26"/>
  <c r="BR14" i="26"/>
  <c r="AB38" i="27"/>
  <c r="BV12" i="26"/>
  <c r="BR12" i="26"/>
  <c r="BZ12" i="26"/>
  <c r="CD12" i="26"/>
  <c r="AB39" i="27"/>
  <c r="AH2" i="26"/>
  <c r="AI3" i="27"/>
  <c r="BV37" i="26"/>
  <c r="CD37" i="26"/>
  <c r="BR37" i="26"/>
  <c r="BZ37" i="26"/>
  <c r="BH3" i="27"/>
  <c r="AB31" i="27"/>
  <c r="BR9" i="26"/>
  <c r="CD9" i="26"/>
  <c r="BV9" i="26"/>
  <c r="BZ9" i="26"/>
  <c r="Z29" i="26"/>
  <c r="CD29" i="26"/>
  <c r="BZ29" i="26"/>
  <c r="BV29" i="26"/>
  <c r="BR29" i="26"/>
  <c r="AB29" i="27"/>
  <c r="BV4" i="26"/>
  <c r="BZ4" i="26"/>
  <c r="CD4" i="26"/>
  <c r="BR4" i="26"/>
  <c r="Z44" i="26"/>
  <c r="BZ44" i="26"/>
  <c r="BR44" i="26"/>
  <c r="CD44" i="26"/>
  <c r="BV44" i="26"/>
  <c r="Z39" i="26"/>
  <c r="BV39" i="26"/>
  <c r="BZ39" i="26"/>
  <c r="BR39" i="26"/>
  <c r="CD39" i="26"/>
  <c r="AP2" i="26"/>
  <c r="AQ3" i="27"/>
  <c r="Z33" i="26"/>
  <c r="BR33" i="26"/>
  <c r="CD33" i="26"/>
  <c r="BZ33" i="26"/>
  <c r="BV33" i="26"/>
  <c r="BR18" i="26"/>
  <c r="BZ18" i="26"/>
  <c r="BV18" i="26"/>
  <c r="CD18" i="26"/>
  <c r="AZ3" i="27"/>
  <c r="AA9" i="27"/>
  <c r="BR8" i="26"/>
  <c r="BZ8" i="26"/>
  <c r="BV8" i="26"/>
  <c r="CD8" i="26"/>
  <c r="AB34" i="27"/>
  <c r="AB19" i="27"/>
  <c r="AB28" i="27"/>
  <c r="Z41" i="26"/>
  <c r="BZ41" i="26"/>
  <c r="CD41" i="26"/>
  <c r="BR41" i="26"/>
  <c r="BV41" i="26"/>
  <c r="AB20" i="27"/>
  <c r="AB17" i="27"/>
  <c r="AB8" i="27"/>
  <c r="BR5" i="26"/>
  <c r="CD5" i="26"/>
  <c r="BZ5" i="26"/>
  <c r="BV5" i="26"/>
  <c r="BR26" i="26"/>
  <c r="BZ26" i="26"/>
  <c r="CD26" i="26"/>
  <c r="BV26" i="26"/>
  <c r="AL2" i="26"/>
  <c r="AM3" i="27"/>
  <c r="AB13" i="27"/>
  <c r="Z27" i="26"/>
  <c r="BR27" i="26"/>
  <c r="BV27" i="26"/>
  <c r="CD27" i="26"/>
  <c r="BZ27" i="26"/>
  <c r="AB42" i="27"/>
  <c r="AA20" i="27"/>
  <c r="CD19" i="26"/>
  <c r="BV19" i="26"/>
  <c r="BZ19" i="26"/>
  <c r="BR19" i="26"/>
  <c r="BV16" i="26"/>
  <c r="CD16" i="26"/>
  <c r="BR16" i="26"/>
  <c r="BZ16" i="26"/>
  <c r="Z7" i="26"/>
  <c r="CD7" i="26"/>
  <c r="BZ7" i="26"/>
  <c r="BV7" i="26"/>
  <c r="BR7" i="26"/>
  <c r="AB6" i="27"/>
  <c r="AB27" i="27"/>
  <c r="AY3" i="27"/>
  <c r="Z42" i="26"/>
  <c r="CD42" i="26"/>
  <c r="BZ42" i="26"/>
  <c r="BR42" i="26"/>
  <c r="BV42" i="26"/>
  <c r="AB7" i="27"/>
  <c r="AB37" i="27"/>
  <c r="AB41" i="27"/>
  <c r="Z50" i="26"/>
  <c r="BZ50" i="26"/>
  <c r="BR50" i="26"/>
  <c r="CD50" i="26"/>
  <c r="BV50" i="26"/>
  <c r="AA32" i="27"/>
  <c r="BV31" i="26"/>
  <c r="BZ31" i="26"/>
  <c r="BR31" i="26"/>
  <c r="CD31" i="26"/>
  <c r="Z32" i="26"/>
  <c r="CD32" i="26"/>
  <c r="BR32" i="26"/>
  <c r="BV32" i="26"/>
  <c r="BZ32" i="26"/>
  <c r="AB22" i="27"/>
  <c r="AB16" i="27"/>
  <c r="Z11" i="26"/>
  <c r="BR11" i="26"/>
  <c r="BV11" i="26"/>
  <c r="CD11" i="26"/>
  <c r="BZ11" i="26"/>
  <c r="AB26" i="27"/>
  <c r="AB32" i="27"/>
  <c r="AB33" i="27"/>
  <c r="AB4" i="27"/>
  <c r="BR21" i="26"/>
  <c r="CD21" i="26"/>
  <c r="BZ21" i="26"/>
  <c r="BV21" i="26"/>
  <c r="Z15" i="26"/>
  <c r="BR15" i="26"/>
  <c r="CD15" i="26"/>
  <c r="BV15" i="26"/>
  <c r="BZ15" i="26"/>
  <c r="AB12" i="27"/>
  <c r="Z25" i="26"/>
  <c r="BZ25" i="26"/>
  <c r="CD25" i="26"/>
  <c r="BR25" i="26"/>
  <c r="BV25" i="26"/>
  <c r="AR3" i="27"/>
  <c r="AQ2" i="26"/>
  <c r="AB43" i="27"/>
  <c r="AB18" i="27"/>
  <c r="BV24" i="26"/>
  <c r="BR24" i="26"/>
  <c r="BZ24" i="26"/>
  <c r="CD24" i="26"/>
  <c r="Z40" i="26"/>
  <c r="CD40" i="26"/>
  <c r="BZ40" i="26"/>
  <c r="BR40" i="26"/>
  <c r="BV40" i="26"/>
  <c r="AB52" i="27"/>
  <c r="BZ20" i="26"/>
  <c r="BV20" i="26"/>
  <c r="BR20" i="26"/>
  <c r="CD20" i="26"/>
  <c r="Z34" i="26"/>
  <c r="BR34" i="26"/>
  <c r="BV34" i="26"/>
  <c r="BZ34" i="26"/>
  <c r="CD34" i="26"/>
  <c r="CD43" i="26"/>
  <c r="BV43" i="26"/>
  <c r="BR43" i="26"/>
  <c r="BZ43" i="26"/>
  <c r="AA47" i="27"/>
  <c r="BZ46" i="26"/>
  <c r="CD46" i="26"/>
  <c r="BR46" i="26"/>
  <c r="BV46" i="26"/>
  <c r="Z45" i="26"/>
  <c r="BV45" i="26"/>
  <c r="BR45" i="26"/>
  <c r="BZ45" i="26"/>
  <c r="CD45" i="26"/>
  <c r="BR49" i="26"/>
  <c r="CD49" i="26"/>
  <c r="BV49" i="26"/>
  <c r="BZ49" i="26"/>
  <c r="AJ3" i="27"/>
  <c r="AI2" i="26"/>
  <c r="AB51" i="27"/>
  <c r="AB25" i="27"/>
  <c r="Z2" i="26"/>
  <c r="AA3" i="27"/>
  <c r="BZ36" i="26"/>
  <c r="BR36" i="26"/>
  <c r="CD36" i="26"/>
  <c r="BV36" i="26"/>
  <c r="Z51" i="26"/>
  <c r="CD51" i="26"/>
  <c r="BZ51" i="26"/>
  <c r="BR51" i="26"/>
  <c r="BV51" i="26"/>
  <c r="AB21" i="27"/>
  <c r="AB35" i="27"/>
  <c r="AB44" i="27"/>
  <c r="AB47" i="27"/>
  <c r="AB46" i="27"/>
  <c r="AB50" i="27"/>
  <c r="AB3" i="27"/>
  <c r="BR3" i="26"/>
  <c r="CD3" i="26"/>
  <c r="BV3" i="26"/>
  <c r="BZ3" i="26"/>
  <c r="AF3" i="27"/>
  <c r="AE2" i="26"/>
  <c r="AB14" i="27"/>
  <c r="AB49" i="27"/>
  <c r="AB24" i="27"/>
  <c r="AB23" i="27"/>
  <c r="AB11" i="27"/>
  <c r="AB36" i="27"/>
  <c r="AB48" i="27"/>
  <c r="BG3" i="27"/>
  <c r="BD3" i="27"/>
  <c r="Z17" i="26"/>
  <c r="BR17" i="26"/>
  <c r="CD17" i="26"/>
  <c r="BZ17" i="26"/>
  <c r="BV17" i="26"/>
  <c r="BZ6" i="26"/>
  <c r="BR6" i="26"/>
  <c r="BV6" i="26"/>
  <c r="CD6" i="26"/>
  <c r="AN3" i="27"/>
  <c r="AM2" i="26"/>
  <c r="Z13" i="26"/>
  <c r="CD13" i="26"/>
  <c r="BV13" i="26"/>
  <c r="BZ13" i="26"/>
  <c r="BR13" i="26"/>
  <c r="AA49" i="27"/>
  <c r="CD48" i="26"/>
  <c r="BV48" i="26"/>
  <c r="BZ48" i="26"/>
  <c r="BR48" i="26"/>
  <c r="Z23" i="26"/>
  <c r="CD23" i="26"/>
  <c r="BV23" i="26"/>
  <c r="BZ23" i="26"/>
  <c r="BR23" i="26"/>
  <c r="AA23" i="27"/>
  <c r="BZ22" i="26"/>
  <c r="BV22" i="26"/>
  <c r="CD22" i="26"/>
  <c r="BR22" i="26"/>
  <c r="CD10" i="26"/>
  <c r="BZ10" i="26"/>
  <c r="BV10" i="26"/>
  <c r="BR10" i="26"/>
  <c r="Z35" i="26"/>
  <c r="BZ35" i="26"/>
  <c r="BV35" i="26"/>
  <c r="BR35" i="26"/>
  <c r="CD35" i="26"/>
  <c r="Z47" i="26"/>
  <c r="BZ47" i="26"/>
  <c r="BV47" i="26"/>
  <c r="BR47" i="26"/>
  <c r="CD47" i="26"/>
  <c r="BC3" i="27"/>
  <c r="BL3" i="27"/>
  <c r="AA4" i="27"/>
  <c r="Y31" i="27"/>
  <c r="AA15" i="27"/>
  <c r="Z12" i="26"/>
  <c r="AA13" i="27"/>
  <c r="AA5" i="27"/>
  <c r="AM27" i="29"/>
  <c r="AM10" i="29"/>
  <c r="Y22" i="27"/>
  <c r="AA43" i="27"/>
  <c r="AM15" i="29"/>
  <c r="AA27" i="27"/>
  <c r="AM36" i="29"/>
  <c r="AM38" i="29"/>
  <c r="AM37" i="29"/>
  <c r="AA41" i="27"/>
  <c r="AM21" i="29"/>
  <c r="AM30" i="29"/>
  <c r="AM11" i="29"/>
  <c r="AM50" i="29"/>
  <c r="AM24" i="29"/>
  <c r="AM35" i="29"/>
  <c r="AM25" i="29"/>
  <c r="AM52" i="29"/>
  <c r="AM28" i="29"/>
  <c r="AM14" i="29"/>
  <c r="AM41" i="29"/>
  <c r="AM6" i="29"/>
  <c r="AM39" i="29"/>
  <c r="AM20" i="29"/>
  <c r="AM17" i="29"/>
  <c r="AM13" i="29"/>
  <c r="AM45" i="29"/>
  <c r="AM34" i="29"/>
  <c r="AM31" i="29"/>
  <c r="AM32" i="29"/>
  <c r="AM33" i="29"/>
  <c r="D29" i="26"/>
  <c r="Y30" i="27" s="1"/>
  <c r="D35" i="26"/>
  <c r="Y36" i="27" s="1"/>
  <c r="E47" i="26"/>
  <c r="D47" i="26"/>
  <c r="Y48" i="27" s="1"/>
  <c r="E29" i="26"/>
  <c r="D38" i="26"/>
  <c r="Y39" i="27" s="1"/>
  <c r="D19" i="26"/>
  <c r="Y20" i="27" s="1"/>
  <c r="D51" i="26"/>
  <c r="Y52" i="27" s="1"/>
  <c r="E12" i="26"/>
  <c r="D43" i="26"/>
  <c r="Y44" i="27" s="1"/>
  <c r="D3" i="26"/>
  <c r="Y4" i="27" s="1"/>
  <c r="D12" i="26"/>
  <c r="Y13" i="27" s="1"/>
  <c r="D45" i="26"/>
  <c r="Y46" i="27" s="1"/>
  <c r="D10" i="26"/>
  <c r="Y11" i="27" s="1"/>
  <c r="E3" i="26"/>
  <c r="E45" i="26"/>
  <c r="E51" i="26"/>
  <c r="E23" i="26"/>
  <c r="E19" i="26"/>
  <c r="E43" i="26"/>
  <c r="Z44" i="27" s="1"/>
  <c r="D5" i="26"/>
  <c r="Y6" i="27" s="1"/>
  <c r="E38" i="26"/>
  <c r="Z39" i="27" s="1"/>
  <c r="E39" i="26"/>
  <c r="D14" i="26"/>
  <c r="Y15" i="27" s="1"/>
  <c r="D33" i="26"/>
  <c r="Y34" i="27" s="1"/>
  <c r="E7" i="26"/>
  <c r="E36" i="26"/>
  <c r="D49" i="26"/>
  <c r="Y50" i="27" s="1"/>
  <c r="E44" i="26"/>
  <c r="D15" i="26"/>
  <c r="Y16" i="27" s="1"/>
  <c r="D32" i="26"/>
  <c r="Y33" i="27" s="1"/>
  <c r="E27" i="26"/>
  <c r="Z28" i="27" s="1"/>
  <c r="D8" i="26"/>
  <c r="Y9" i="27" s="1"/>
  <c r="D50" i="26"/>
  <c r="Y51" i="27" s="1"/>
  <c r="E6" i="26"/>
  <c r="E48" i="26"/>
  <c r="D44" i="26"/>
  <c r="Y45" i="27" s="1"/>
  <c r="D46" i="26"/>
  <c r="Y47" i="27" s="1"/>
  <c r="E18" i="26"/>
  <c r="E8" i="26"/>
  <c r="Z9" i="27" s="1"/>
  <c r="E4" i="26"/>
  <c r="E17" i="26"/>
  <c r="D4" i="26"/>
  <c r="Y5" i="27" s="1"/>
  <c r="D17" i="26"/>
  <c r="Y18" i="27" s="1"/>
  <c r="E28" i="26"/>
  <c r="E15" i="26"/>
  <c r="D16" i="26"/>
  <c r="Y17" i="27" s="1"/>
  <c r="E16" i="26"/>
  <c r="E50" i="26"/>
  <c r="E9" i="26"/>
  <c r="D41" i="26"/>
  <c r="Y42" i="27" s="1"/>
  <c r="D6" i="26"/>
  <c r="Y7" i="27" s="1"/>
  <c r="E10" i="26"/>
  <c r="Z11" i="27" s="1"/>
  <c r="D34" i="26"/>
  <c r="Y35" i="27" s="1"/>
  <c r="D18" i="26"/>
  <c r="Y19" i="27" s="1"/>
  <c r="D11" i="26"/>
  <c r="Y12" i="27" s="1"/>
  <c r="D23" i="26"/>
  <c r="Y24" i="27" s="1"/>
  <c r="D28" i="26"/>
  <c r="Y29" i="27" s="1"/>
  <c r="E14" i="26"/>
  <c r="Z15" i="27" s="1"/>
  <c r="D7" i="26"/>
  <c r="Y8" i="27" s="1"/>
  <c r="D27" i="26"/>
  <c r="Y28" i="27" s="1"/>
  <c r="E25" i="26"/>
  <c r="Z26" i="27" s="1"/>
  <c r="D48" i="26"/>
  <c r="Y49" i="27" s="1"/>
  <c r="E46" i="26"/>
  <c r="D31" i="26"/>
  <c r="Y32" i="27" s="1"/>
  <c r="D25" i="26"/>
  <c r="Y26" i="27" s="1"/>
  <c r="E5" i="26"/>
  <c r="Z6" i="27" s="1"/>
  <c r="E35" i="26"/>
  <c r="D39" i="26"/>
  <c r="Y40" i="27" s="1"/>
  <c r="E11" i="26"/>
  <c r="Y26" i="26"/>
  <c r="X26" i="26"/>
  <c r="Y33" i="26"/>
  <c r="X40" i="26"/>
  <c r="X13" i="26"/>
  <c r="Y13" i="26"/>
  <c r="X30" i="26"/>
  <c r="Y30" i="26"/>
  <c r="Y24" i="26"/>
  <c r="X9" i="26"/>
  <c r="Y20" i="26"/>
  <c r="Y49" i="26"/>
  <c r="X24" i="26"/>
  <c r="X22" i="26"/>
  <c r="Y31" i="26"/>
  <c r="Y41" i="26"/>
  <c r="X21" i="26"/>
  <c r="Y22" i="26"/>
  <c r="Y32" i="26"/>
  <c r="Y34" i="26"/>
  <c r="X37" i="26"/>
  <c r="U2" i="5"/>
  <c r="U3" i="5"/>
  <c r="U4" i="5"/>
  <c r="U5" i="5"/>
  <c r="U6" i="5"/>
  <c r="U7" i="5"/>
  <c r="U8" i="5"/>
  <c r="U9" i="5"/>
  <c r="U10" i="5"/>
  <c r="U11" i="5"/>
  <c r="U12" i="5"/>
  <c r="U13" i="5"/>
  <c r="U14" i="5"/>
  <c r="U15" i="5"/>
  <c r="U16" i="5"/>
  <c r="U17" i="5"/>
  <c r="U18" i="5"/>
  <c r="U19" i="5"/>
  <c r="U20" i="5"/>
  <c r="U21" i="5"/>
  <c r="U22" i="5"/>
  <c r="U23" i="5"/>
  <c r="U24" i="5"/>
  <c r="U25" i="5"/>
  <c r="U26" i="5"/>
  <c r="U27" i="5"/>
  <c r="U28" i="5"/>
  <c r="U29" i="5"/>
  <c r="U30" i="5"/>
  <c r="U31" i="5"/>
  <c r="U32" i="5"/>
  <c r="U33" i="5"/>
  <c r="U34" i="5"/>
  <c r="U35" i="5"/>
  <c r="U36" i="5"/>
  <c r="U37" i="5"/>
  <c r="U38" i="5"/>
  <c r="U39" i="5"/>
  <c r="U40" i="5"/>
  <c r="U41" i="5"/>
  <c r="U42" i="5"/>
  <c r="U43" i="5"/>
  <c r="U44" i="5"/>
  <c r="U45" i="5"/>
  <c r="U46" i="5"/>
  <c r="U47" i="5"/>
  <c r="U48" i="5"/>
  <c r="U49" i="5"/>
  <c r="U50" i="5"/>
  <c r="U51" i="5"/>
  <c r="S3" i="5"/>
  <c r="S4" i="5"/>
  <c r="S5" i="5"/>
  <c r="S6" i="5"/>
  <c r="S7" i="5"/>
  <c r="S8" i="5"/>
  <c r="S9" i="5"/>
  <c r="S10" i="5"/>
  <c r="S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2" i="5"/>
  <c r="Q3" i="5"/>
  <c r="Q4" i="5"/>
  <c r="Q5" i="5"/>
  <c r="Q6" i="5"/>
  <c r="Q7" i="5"/>
  <c r="Q8" i="5"/>
  <c r="Q9"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Q51" i="5"/>
  <c r="Q2" i="5"/>
  <c r="O3" i="5"/>
  <c r="O4" i="5"/>
  <c r="O5" i="5"/>
  <c r="O6" i="5"/>
  <c r="O7"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2" i="5"/>
  <c r="M2" i="5"/>
  <c r="M3" i="5"/>
  <c r="M4" i="5"/>
  <c r="M5" i="5"/>
  <c r="M6" i="5"/>
  <c r="M7" i="5"/>
  <c r="M8" i="5"/>
  <c r="M9" i="5"/>
  <c r="M10" i="5"/>
  <c r="M11" i="5"/>
  <c r="M12" i="5"/>
  <c r="M13" i="5"/>
  <c r="M14" i="5"/>
  <c r="M15" i="5"/>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K2" i="9" l="1"/>
  <c r="X42" i="26"/>
  <c r="AA45" i="27"/>
  <c r="S2" i="9"/>
  <c r="BT2" i="26"/>
  <c r="Q2" i="9"/>
  <c r="AI2" i="28" s="1"/>
  <c r="AX44" i="27"/>
  <c r="BQ43" i="26"/>
  <c r="AX17" i="27"/>
  <c r="BQ16" i="26"/>
  <c r="AX27" i="27"/>
  <c r="BQ26" i="26"/>
  <c r="AX30" i="27"/>
  <c r="BQ29" i="26"/>
  <c r="AX12" i="27"/>
  <c r="BQ11" i="26"/>
  <c r="AX21" i="27"/>
  <c r="BQ20" i="26"/>
  <c r="AX25" i="27"/>
  <c r="BQ24" i="26"/>
  <c r="AX32" i="27"/>
  <c r="BQ31" i="26"/>
  <c r="AX20" i="27"/>
  <c r="BQ19" i="26"/>
  <c r="AX39" i="27"/>
  <c r="BQ38" i="26"/>
  <c r="AX43" i="27"/>
  <c r="BQ42" i="26"/>
  <c r="AX36" i="27"/>
  <c r="BQ35" i="26"/>
  <c r="AX19" i="27"/>
  <c r="BQ18" i="26"/>
  <c r="AX34" i="27"/>
  <c r="BQ33" i="26"/>
  <c r="R33" i="9" s="1"/>
  <c r="AX35" i="27"/>
  <c r="BQ34" i="26"/>
  <c r="AX46" i="27"/>
  <c r="BQ45" i="26"/>
  <c r="AX16" i="27"/>
  <c r="BQ15" i="26"/>
  <c r="AX6" i="27"/>
  <c r="BQ5" i="26"/>
  <c r="R5" i="9" s="1"/>
  <c r="AX10" i="27"/>
  <c r="BQ9" i="26"/>
  <c r="AX51" i="27"/>
  <c r="BQ50" i="26"/>
  <c r="AX15" i="27"/>
  <c r="BQ14" i="26"/>
  <c r="AX9" i="27"/>
  <c r="BQ8" i="26"/>
  <c r="AX49" i="27"/>
  <c r="BQ48" i="26"/>
  <c r="AX50" i="27"/>
  <c r="BQ49" i="26"/>
  <c r="AX26" i="27"/>
  <c r="BQ25" i="26"/>
  <c r="AX7" i="27"/>
  <c r="BQ6" i="26"/>
  <c r="AX42" i="27"/>
  <c r="BQ41" i="26"/>
  <c r="R41" i="9" s="1"/>
  <c r="AX13" i="27"/>
  <c r="BQ12" i="26"/>
  <c r="AX22" i="27"/>
  <c r="BQ21" i="26"/>
  <c r="AX37" i="27"/>
  <c r="BQ36" i="26"/>
  <c r="AX4" i="27"/>
  <c r="BQ3" i="26"/>
  <c r="AX14" i="27"/>
  <c r="BQ13" i="26"/>
  <c r="AX24" i="27"/>
  <c r="BQ23" i="26"/>
  <c r="AX38" i="27"/>
  <c r="BQ37" i="26"/>
  <c r="AX28" i="27"/>
  <c r="BQ27" i="26"/>
  <c r="AX40" i="27"/>
  <c r="BQ39" i="26"/>
  <c r="AX18" i="27"/>
  <c r="BQ17" i="26"/>
  <c r="R17" i="9" s="1"/>
  <c r="AX11" i="27"/>
  <c r="BQ10" i="26"/>
  <c r="AX41" i="27"/>
  <c r="BQ40" i="26"/>
  <c r="AX48" i="27"/>
  <c r="BQ47" i="26"/>
  <c r="AX33" i="27"/>
  <c r="BQ32" i="26"/>
  <c r="AX45" i="27"/>
  <c r="BQ44" i="26"/>
  <c r="AX5" i="27"/>
  <c r="BQ4" i="26"/>
  <c r="AX31" i="27"/>
  <c r="BQ30" i="26"/>
  <c r="AX8" i="27"/>
  <c r="BQ7" i="26"/>
  <c r="AX29" i="27"/>
  <c r="BQ28" i="26"/>
  <c r="AX47" i="27"/>
  <c r="BQ46" i="26"/>
  <c r="E26" i="9"/>
  <c r="E26" i="28" s="1"/>
  <c r="U2" i="9"/>
  <c r="Y42" i="26"/>
  <c r="X20" i="26"/>
  <c r="I2" i="9"/>
  <c r="O2" i="28" s="1"/>
  <c r="G2" i="9"/>
  <c r="J2" i="28" s="1"/>
  <c r="AD31" i="27"/>
  <c r="AC30" i="26"/>
  <c r="BN8" i="27"/>
  <c r="AD13" i="27"/>
  <c r="AC12" i="26"/>
  <c r="AW11" i="27"/>
  <c r="AD44" i="27"/>
  <c r="AC43" i="26"/>
  <c r="BE49" i="27"/>
  <c r="BI46" i="27"/>
  <c r="BM4" i="27"/>
  <c r="Y3" i="9"/>
  <c r="AP51" i="27"/>
  <c r="AO50" i="26"/>
  <c r="BA39" i="27"/>
  <c r="AG38" i="26"/>
  <c r="AH39" i="27"/>
  <c r="AW7" i="27"/>
  <c r="BA15" i="27"/>
  <c r="AN23" i="26"/>
  <c r="AO24" i="27"/>
  <c r="BJ17" i="27"/>
  <c r="AG36" i="26"/>
  <c r="AH37" i="27"/>
  <c r="AN36" i="26"/>
  <c r="AO37" i="27"/>
  <c r="BE21" i="27"/>
  <c r="AF24" i="26"/>
  <c r="AG25" i="27"/>
  <c r="BN25" i="27"/>
  <c r="BJ38" i="27"/>
  <c r="AL43" i="27"/>
  <c r="AK42" i="26"/>
  <c r="AW32" i="27"/>
  <c r="BA35" i="27"/>
  <c r="AJ40" i="26"/>
  <c r="AK41" i="27"/>
  <c r="BA31" i="27"/>
  <c r="AB41" i="26"/>
  <c r="AC42" i="27"/>
  <c r="BM42" i="27"/>
  <c r="Y41" i="9"/>
  <c r="AG26" i="26"/>
  <c r="AH27" i="27"/>
  <c r="AG41" i="27"/>
  <c r="AF40" i="26"/>
  <c r="BE8" i="27"/>
  <c r="AG5" i="26"/>
  <c r="AH6" i="27"/>
  <c r="AF27" i="26"/>
  <c r="AG28" i="27"/>
  <c r="AC5" i="27"/>
  <c r="AB4" i="26"/>
  <c r="BB52" i="27"/>
  <c r="BE44" i="27"/>
  <c r="BA40" i="27"/>
  <c r="BM46" i="27"/>
  <c r="Y45" i="9"/>
  <c r="BA20" i="27"/>
  <c r="AC15" i="26"/>
  <c r="AD16" i="27"/>
  <c r="AN49" i="26"/>
  <c r="AO50" i="27"/>
  <c r="BA36" i="27"/>
  <c r="BJ4" i="27"/>
  <c r="AK48" i="27"/>
  <c r="AJ47" i="26"/>
  <c r="AP14" i="27"/>
  <c r="AO13" i="26"/>
  <c r="AW14" i="27"/>
  <c r="BI33" i="27"/>
  <c r="BE19" i="27"/>
  <c r="AF18" i="26"/>
  <c r="AG19" i="27"/>
  <c r="BF10" i="27"/>
  <c r="AK44" i="26"/>
  <c r="AL45" i="27"/>
  <c r="BB18" i="27"/>
  <c r="BN18" i="27"/>
  <c r="AB29" i="26"/>
  <c r="AC30" i="27"/>
  <c r="BJ26" i="27"/>
  <c r="AB11" i="26"/>
  <c r="AC12" i="27"/>
  <c r="BM12" i="27"/>
  <c r="Y11" i="9"/>
  <c r="BF9" i="27"/>
  <c r="AW8" i="27"/>
  <c r="BM8" i="27"/>
  <c r="Z7" i="9"/>
  <c r="Y7" i="9"/>
  <c r="AL6" i="27"/>
  <c r="AK5" i="26"/>
  <c r="AG27" i="26"/>
  <c r="AH28" i="27"/>
  <c r="AJ4" i="26"/>
  <c r="AK5" i="27"/>
  <c r="AG5" i="27"/>
  <c r="AF4" i="26"/>
  <c r="AK12" i="26"/>
  <c r="AL13" i="27"/>
  <c r="AN10" i="26"/>
  <c r="AO11" i="27"/>
  <c r="BF11" i="27"/>
  <c r="AC51" i="26"/>
  <c r="AD52" i="27"/>
  <c r="AJ43" i="26"/>
  <c r="AK44" i="27"/>
  <c r="AG49" i="27"/>
  <c r="AF48" i="26"/>
  <c r="AW40" i="27"/>
  <c r="AK39" i="26"/>
  <c r="AL40" i="27"/>
  <c r="AF45" i="26"/>
  <c r="AG46" i="27"/>
  <c r="AJ19" i="26"/>
  <c r="AK20" i="27"/>
  <c r="BF16" i="27"/>
  <c r="BB50" i="27"/>
  <c r="BF50" i="27"/>
  <c r="BJ36" i="27"/>
  <c r="BB4" i="27"/>
  <c r="AG47" i="26"/>
  <c r="AH48" i="27"/>
  <c r="BE14" i="27"/>
  <c r="BN14" i="27"/>
  <c r="BJ29" i="27"/>
  <c r="AD33" i="27"/>
  <c r="AC32" i="26"/>
  <c r="AC18" i="26"/>
  <c r="AD19" i="27"/>
  <c r="AK18" i="26"/>
  <c r="AL19" i="27"/>
  <c r="AH10" i="27"/>
  <c r="AG9" i="26"/>
  <c r="AF44" i="26"/>
  <c r="AG45" i="27"/>
  <c r="AD18" i="27"/>
  <c r="AC17" i="26"/>
  <c r="BM18" i="27"/>
  <c r="Y17" i="9"/>
  <c r="AC29" i="26"/>
  <c r="AD30" i="27"/>
  <c r="AW26" i="27"/>
  <c r="AF11" i="26"/>
  <c r="AG12" i="27"/>
  <c r="BE34" i="27"/>
  <c r="AB50" i="26"/>
  <c r="AC51" i="27"/>
  <c r="AK38" i="26"/>
  <c r="AL39" i="27"/>
  <c r="Z38" i="9"/>
  <c r="BN39" i="27"/>
  <c r="AP7" i="27"/>
  <c r="AO6" i="26"/>
  <c r="AC15" i="27"/>
  <c r="AB14" i="26"/>
  <c r="AL24" i="27"/>
  <c r="AK23" i="26"/>
  <c r="AG46" i="26"/>
  <c r="AH47" i="27"/>
  <c r="AK21" i="26"/>
  <c r="AL22" i="27"/>
  <c r="AF36" i="26"/>
  <c r="AG37" i="27"/>
  <c r="BM25" i="27"/>
  <c r="Y24" i="9"/>
  <c r="BI38" i="27"/>
  <c r="BF43" i="27"/>
  <c r="AB31" i="26"/>
  <c r="AC32" i="27"/>
  <c r="BI35" i="27"/>
  <c r="BF41" i="27"/>
  <c r="BB41" i="27"/>
  <c r="AG30" i="26"/>
  <c r="AH31" i="27"/>
  <c r="AW42" i="27"/>
  <c r="BB27" i="27"/>
  <c r="BF27" i="27"/>
  <c r="AH32" i="27"/>
  <c r="AG31" i="26"/>
  <c r="AN51" i="26"/>
  <c r="AO52" i="27"/>
  <c r="BJ48" i="27"/>
  <c r="BF31" i="27"/>
  <c r="AA26" i="9"/>
  <c r="AA29" i="27"/>
  <c r="AK8" i="26"/>
  <c r="AL9" i="27"/>
  <c r="AC7" i="26"/>
  <c r="AD8" i="27"/>
  <c r="BI6" i="27"/>
  <c r="AB5" i="26"/>
  <c r="AC6" i="27"/>
  <c r="AW28" i="27"/>
  <c r="BJ5" i="27"/>
  <c r="BN5" i="27"/>
  <c r="BA13" i="27"/>
  <c r="BN11" i="27"/>
  <c r="BF52" i="27"/>
  <c r="AF43" i="26"/>
  <c r="AG44" i="27"/>
  <c r="BM44" i="27"/>
  <c r="Z43" i="9"/>
  <c r="Y43" i="9"/>
  <c r="AW49" i="27"/>
  <c r="AD40" i="27"/>
  <c r="AC39" i="26"/>
  <c r="BN40" i="27"/>
  <c r="AL46" i="27"/>
  <c r="AK45" i="26"/>
  <c r="AW20" i="27"/>
  <c r="BB20" i="27"/>
  <c r="AN15" i="26"/>
  <c r="AO16" i="27"/>
  <c r="BA50" i="27"/>
  <c r="BB36" i="27"/>
  <c r="AO3" i="26"/>
  <c r="AP4" i="27"/>
  <c r="AG48" i="27"/>
  <c r="AF47" i="26"/>
  <c r="BI14" i="27"/>
  <c r="AL29" i="27"/>
  <c r="AK28" i="26"/>
  <c r="BA33" i="27"/>
  <c r="AN18" i="26"/>
  <c r="AO19" i="27"/>
  <c r="BM19" i="27"/>
  <c r="Y18" i="9"/>
  <c r="BB10" i="27"/>
  <c r="BE18" i="27"/>
  <c r="BJ30" i="27"/>
  <c r="AW30" i="27"/>
  <c r="BF26" i="27"/>
  <c r="AK11" i="26"/>
  <c r="AL12" i="27"/>
  <c r="AC33" i="26"/>
  <c r="AD34" i="27"/>
  <c r="BI34" i="27"/>
  <c r="AK50" i="26"/>
  <c r="AL51" i="27"/>
  <c r="BF39" i="27"/>
  <c r="BE7" i="27"/>
  <c r="BF15" i="27"/>
  <c r="AJ23" i="26"/>
  <c r="AK24" i="27"/>
  <c r="BB47" i="27"/>
  <c r="AF46" i="26"/>
  <c r="AG47" i="27"/>
  <c r="BI17" i="27"/>
  <c r="AG21" i="26"/>
  <c r="AH22" i="27"/>
  <c r="BA37" i="27"/>
  <c r="BM37" i="27"/>
  <c r="Y36" i="9"/>
  <c r="AO21" i="27"/>
  <c r="AN20" i="26"/>
  <c r="AB24" i="26"/>
  <c r="AC25" i="27"/>
  <c r="AG37" i="26"/>
  <c r="AH38" i="27"/>
  <c r="AN37" i="26"/>
  <c r="AO38" i="27"/>
  <c r="AJ42" i="26"/>
  <c r="AK43" i="27"/>
  <c r="BB32" i="27"/>
  <c r="BF35" i="27"/>
  <c r="AO40" i="26"/>
  <c r="AP41" i="27"/>
  <c r="BN41" i="27"/>
  <c r="AN30" i="26"/>
  <c r="AO31" i="27"/>
  <c r="AF41" i="26"/>
  <c r="AG42" i="27"/>
  <c r="BE27" i="27"/>
  <c r="BN46" i="27"/>
  <c r="AK45" i="9" s="1"/>
  <c r="BM36" i="27"/>
  <c r="Y35" i="9"/>
  <c r="AO28" i="26"/>
  <c r="AP29" i="27"/>
  <c r="AB9" i="26"/>
  <c r="AC10" i="27"/>
  <c r="BE30" i="27"/>
  <c r="BI47" i="27"/>
  <c r="AO22" i="27"/>
  <c r="AN21" i="26"/>
  <c r="AF20" i="26"/>
  <c r="AG21" i="27"/>
  <c r="AN24" i="26"/>
  <c r="AO25" i="27"/>
  <c r="BI25" i="27"/>
  <c r="BF38" i="27"/>
  <c r="BI42" i="27"/>
  <c r="AO8" i="26"/>
  <c r="AP9" i="27"/>
  <c r="BJ8" i="27"/>
  <c r="BA6" i="27"/>
  <c r="AC4" i="26"/>
  <c r="AD5" i="27"/>
  <c r="AK10" i="26"/>
  <c r="AL11" i="27"/>
  <c r="BJ11" i="27"/>
  <c r="AW44" i="27"/>
  <c r="BN44" i="27"/>
  <c r="BB49" i="27"/>
  <c r="AO40" i="27"/>
  <c r="AN39" i="26"/>
  <c r="AO39" i="26"/>
  <c r="AP40" i="27"/>
  <c r="BA46" i="27"/>
  <c r="AK19" i="26"/>
  <c r="AL20" i="27"/>
  <c r="AC16" i="27"/>
  <c r="AB15" i="26"/>
  <c r="AK50" i="27"/>
  <c r="AJ49" i="26"/>
  <c r="BN50" i="27"/>
  <c r="AL36" i="27"/>
  <c r="AK35" i="26"/>
  <c r="AK3" i="26"/>
  <c r="AL4" i="27"/>
  <c r="AF32" i="26"/>
  <c r="AG33" i="27"/>
  <c r="BI26" i="27"/>
  <c r="BB12" i="27"/>
  <c r="AW34" i="27"/>
  <c r="AL34" i="27"/>
  <c r="AK33" i="26"/>
  <c r="AG15" i="27"/>
  <c r="AF14" i="26"/>
  <c r="AO46" i="26"/>
  <c r="AP47" i="27"/>
  <c r="BA41" i="27"/>
  <c r="BB9" i="27"/>
  <c r="AF7" i="26"/>
  <c r="AG8" i="27"/>
  <c r="BB6" i="27"/>
  <c r="AW6" i="27"/>
  <c r="AO28" i="27"/>
  <c r="AN27" i="26"/>
  <c r="BM5" i="27"/>
  <c r="Y4" i="9"/>
  <c r="AO12" i="26"/>
  <c r="AP13" i="27"/>
  <c r="AJ10" i="26"/>
  <c r="AK11" i="27"/>
  <c r="BM11" i="27"/>
  <c r="Y10" i="9"/>
  <c r="AX52" i="27"/>
  <c r="AP44" i="27"/>
  <c r="AO43" i="26"/>
  <c r="AC48" i="26"/>
  <c r="AD49" i="27"/>
  <c r="AJ39" i="26"/>
  <c r="AK40" i="27"/>
  <c r="BM40" i="27"/>
  <c r="Z39" i="9"/>
  <c r="Y39" i="9"/>
  <c r="BF46" i="27"/>
  <c r="AO20" i="27"/>
  <c r="AN19" i="26"/>
  <c r="BN20" i="27"/>
  <c r="BE16" i="27"/>
  <c r="AW50" i="27"/>
  <c r="BM50" i="27"/>
  <c r="Z49" i="9"/>
  <c r="Y49" i="9"/>
  <c r="BE36" i="27"/>
  <c r="AB3" i="26"/>
  <c r="AC4" i="27"/>
  <c r="AO47" i="26"/>
  <c r="AP48" i="27"/>
  <c r="AG13" i="26"/>
  <c r="AH14" i="27"/>
  <c r="BA29" i="27"/>
  <c r="AW29" i="27"/>
  <c r="BB33" i="27"/>
  <c r="AO9" i="26"/>
  <c r="AP10" i="27"/>
  <c r="AN44" i="26"/>
  <c r="AO45" i="27"/>
  <c r="AW18" i="27"/>
  <c r="AN29" i="26"/>
  <c r="AO30" i="27"/>
  <c r="AO29" i="26"/>
  <c r="AP30" i="27"/>
  <c r="AB25" i="26"/>
  <c r="AC26" i="27"/>
  <c r="AW12" i="27"/>
  <c r="AN33" i="26"/>
  <c r="AO34" i="27"/>
  <c r="BN34" i="27"/>
  <c r="AO51" i="27"/>
  <c r="AN50" i="26"/>
  <c r="BE22" i="28"/>
  <c r="BC22" i="28"/>
  <c r="AO39" i="27"/>
  <c r="AN38" i="26"/>
  <c r="AG6" i="26"/>
  <c r="AH7" i="27"/>
  <c r="AB6" i="26"/>
  <c r="AC7" i="27"/>
  <c r="AG14" i="26"/>
  <c r="AH15" i="27"/>
  <c r="BA24" i="27"/>
  <c r="AW47" i="27"/>
  <c r="BN47" i="27"/>
  <c r="AB16" i="26"/>
  <c r="AC17" i="27"/>
  <c r="AG22" i="27"/>
  <c r="AF21" i="26"/>
  <c r="BJ37" i="27"/>
  <c r="AB20" i="26"/>
  <c r="AC21" i="27"/>
  <c r="AH25" i="27"/>
  <c r="AG24" i="26"/>
  <c r="AO37" i="26"/>
  <c r="AP38" i="27"/>
  <c r="BN38" i="27"/>
  <c r="BA43" i="27"/>
  <c r="BJ32" i="27"/>
  <c r="AJ31" i="26"/>
  <c r="AK32" i="27"/>
  <c r="Z3" i="9"/>
  <c r="BJ35" i="27"/>
  <c r="AG40" i="26"/>
  <c r="AH41" i="27"/>
  <c r="BM41" i="27"/>
  <c r="Y40" i="9"/>
  <c r="AJ30" i="26"/>
  <c r="AK31" i="27"/>
  <c r="AP27" i="27"/>
  <c r="AO26" i="26"/>
  <c r="AG7" i="26"/>
  <c r="AH8" i="27"/>
  <c r="AP49" i="27"/>
  <c r="AO48" i="26"/>
  <c r="AW16" i="27"/>
  <c r="AC47" i="26"/>
  <c r="AD48" i="27"/>
  <c r="Z18" i="9"/>
  <c r="BI43" i="27"/>
  <c r="BN19" i="27"/>
  <c r="AB44" i="26"/>
  <c r="AC45" i="27"/>
  <c r="BF18" i="27"/>
  <c r="BI30" i="27"/>
  <c r="AW39" i="27"/>
  <c r="BM39" i="27"/>
  <c r="AK38" i="9" s="1"/>
  <c r="Y38" i="9"/>
  <c r="AD7" i="27"/>
  <c r="AC6" i="26"/>
  <c r="AH24" i="27"/>
  <c r="AG23" i="26"/>
  <c r="BA47" i="27"/>
  <c r="BE17" i="27"/>
  <c r="AJ21" i="26"/>
  <c r="AK22" i="27"/>
  <c r="AK37" i="27"/>
  <c r="AJ36" i="26"/>
  <c r="BN37" i="27"/>
  <c r="AW25" i="27"/>
  <c r="AW38" i="27"/>
  <c r="BA32" i="27"/>
  <c r="AW35" i="27"/>
  <c r="AH42" i="27"/>
  <c r="AG41" i="26"/>
  <c r="AA50" i="27"/>
  <c r="E37" i="9"/>
  <c r="E37" i="28" s="1"/>
  <c r="AJ8" i="26"/>
  <c r="AK9" i="27"/>
  <c r="BJ6" i="27"/>
  <c r="BN6" i="27"/>
  <c r="BA28" i="27"/>
  <c r="AK4" i="26"/>
  <c r="AL5" i="27"/>
  <c r="AJ12" i="26"/>
  <c r="AK13" i="27"/>
  <c r="BI11" i="27"/>
  <c r="AB51" i="26"/>
  <c r="AC52" i="27"/>
  <c r="AB43" i="26"/>
  <c r="AC44" i="27"/>
  <c r="BI49" i="27"/>
  <c r="BJ49" i="27"/>
  <c r="AB39" i="26"/>
  <c r="AC40" i="27"/>
  <c r="AW46" i="27"/>
  <c r="BE20" i="27"/>
  <c r="BM20" i="27"/>
  <c r="Z19" i="9"/>
  <c r="Y19" i="9"/>
  <c r="BJ16" i="27"/>
  <c r="AO49" i="26"/>
  <c r="AP50" i="27"/>
  <c r="AO35" i="26"/>
  <c r="AP36" i="27"/>
  <c r="AB47" i="26"/>
  <c r="AC48" i="27"/>
  <c r="BA14" i="27"/>
  <c r="BI29" i="27"/>
  <c r="AN28" i="26"/>
  <c r="AO29" i="27"/>
  <c r="BF33" i="27"/>
  <c r="AJ18" i="26"/>
  <c r="AK19" i="27"/>
  <c r="AW10" i="27"/>
  <c r="AF9" i="26"/>
  <c r="AG10" i="27"/>
  <c r="AG44" i="26"/>
  <c r="AH45" i="27"/>
  <c r="AJ17" i="26"/>
  <c r="AK18" i="27"/>
  <c r="AF29" i="26"/>
  <c r="AG30" i="27"/>
  <c r="BN30" i="27"/>
  <c r="BA26" i="27"/>
  <c r="AN25" i="26"/>
  <c r="AO26" i="27"/>
  <c r="AC11" i="26"/>
  <c r="AD12" i="27"/>
  <c r="AB33" i="26"/>
  <c r="AC34" i="27"/>
  <c r="BM34" i="27"/>
  <c r="Z33" i="9"/>
  <c r="Y33" i="9"/>
  <c r="BE51" i="27"/>
  <c r="Z22" i="9"/>
  <c r="BI39" i="27"/>
  <c r="AK6" i="26"/>
  <c r="AL7" i="27"/>
  <c r="BN7" i="27"/>
  <c r="AO14" i="26"/>
  <c r="AP15" i="27"/>
  <c r="BJ24" i="27"/>
  <c r="BJ47" i="27"/>
  <c r="BM47" i="27"/>
  <c r="Z46" i="9"/>
  <c r="Y46" i="9"/>
  <c r="AK16" i="26"/>
  <c r="AL17" i="27"/>
  <c r="BB22" i="27"/>
  <c r="AB36" i="26"/>
  <c r="AC37" i="27"/>
  <c r="BB21" i="27"/>
  <c r="BF25" i="27"/>
  <c r="AC37" i="26"/>
  <c r="AD38" i="27"/>
  <c r="AB37" i="26"/>
  <c r="AC38" i="27"/>
  <c r="AW43" i="27"/>
  <c r="AD32" i="27"/>
  <c r="AC31" i="26"/>
  <c r="BN32" i="27"/>
  <c r="BB35" i="27"/>
  <c r="AL41" i="27"/>
  <c r="AK40" i="26"/>
  <c r="BJ31" i="27"/>
  <c r="BF42" i="27"/>
  <c r="AK27" i="27"/>
  <c r="AJ26" i="26"/>
  <c r="AN8" i="26"/>
  <c r="AO9" i="27"/>
  <c r="AN7" i="26"/>
  <c r="AO8" i="27"/>
  <c r="BF6" i="27"/>
  <c r="BI5" i="27"/>
  <c r="BE11" i="27"/>
  <c r="AF39" i="26"/>
  <c r="AG40" i="27"/>
  <c r="AC36" i="27"/>
  <c r="AB35" i="26"/>
  <c r="BN4" i="27"/>
  <c r="AC14" i="27"/>
  <c r="AB13" i="26"/>
  <c r="AJ32" i="26"/>
  <c r="AK33" i="27"/>
  <c r="AC19" i="27"/>
  <c r="AB18" i="26"/>
  <c r="AO12" i="27"/>
  <c r="AN11" i="26"/>
  <c r="AK34" i="27"/>
  <c r="AJ33" i="26"/>
  <c r="BB39" i="27"/>
  <c r="BJ7" i="27"/>
  <c r="BB37" i="27"/>
  <c r="Z41" i="9"/>
  <c r="BN42" i="27"/>
  <c r="BJ28" i="27"/>
  <c r="BJ20" i="27"/>
  <c r="BM14" i="27"/>
  <c r="AK13" i="9" s="1"/>
  <c r="Y13" i="9"/>
  <c r="BJ21" i="27"/>
  <c r="Z49" i="26"/>
  <c r="AW9" i="27"/>
  <c r="AP8" i="27"/>
  <c r="AO7" i="26"/>
  <c r="AO5" i="26"/>
  <c r="AP6" i="27"/>
  <c r="BM6" i="27"/>
  <c r="Z5" i="9"/>
  <c r="Y5" i="9"/>
  <c r="BB28" i="27"/>
  <c r="AN4" i="26"/>
  <c r="AO5" i="27"/>
  <c r="BF13" i="27"/>
  <c r="BB11" i="27"/>
  <c r="BJ52" i="27"/>
  <c r="AF51" i="26"/>
  <c r="AG52" i="27"/>
  <c r="BF44" i="27"/>
  <c r="AJ48" i="26"/>
  <c r="AK49" i="27"/>
  <c r="AN48" i="26"/>
  <c r="AO49" i="27"/>
  <c r="BI40" i="27"/>
  <c r="AG45" i="26"/>
  <c r="AH46" i="27"/>
  <c r="BI20" i="27"/>
  <c r="AO15" i="26"/>
  <c r="AP16" i="27"/>
  <c r="AK49" i="26"/>
  <c r="AL50" i="27"/>
  <c r="AD36" i="27"/>
  <c r="AC35" i="26"/>
  <c r="BI4" i="27"/>
  <c r="AW48" i="27"/>
  <c r="AF13" i="26"/>
  <c r="AG14" i="27"/>
  <c r="BB29" i="27"/>
  <c r="BN29" i="27"/>
  <c r="BJ33" i="27"/>
  <c r="BF19" i="27"/>
  <c r="BI10" i="27"/>
  <c r="BF45" i="27"/>
  <c r="AN17" i="26"/>
  <c r="AO18" i="27"/>
  <c r="BB30" i="27"/>
  <c r="BM30" i="27"/>
  <c r="Z29" i="9"/>
  <c r="Y29" i="9"/>
  <c r="AD26" i="27"/>
  <c r="AC25" i="26"/>
  <c r="BN26" i="27"/>
  <c r="AK12" i="27"/>
  <c r="AJ11" i="26"/>
  <c r="AP34" i="27"/>
  <c r="AO33" i="26"/>
  <c r="AC50" i="26"/>
  <c r="AD51" i="27"/>
  <c r="AK22" i="9"/>
  <c r="BF7" i="27"/>
  <c r="AJ6" i="26"/>
  <c r="AK7" i="27"/>
  <c r="BE15" i="27"/>
  <c r="BI24" i="27"/>
  <c r="AC46" i="26"/>
  <c r="AD47" i="27"/>
  <c r="BF17" i="27"/>
  <c r="BE22" i="27"/>
  <c r="AW37" i="27"/>
  <c r="AH21" i="27"/>
  <c r="AG20" i="26"/>
  <c r="AK24" i="26"/>
  <c r="AL25" i="27"/>
  <c r="BM38" i="27"/>
  <c r="Y37" i="9"/>
  <c r="AH43" i="27"/>
  <c r="AG42" i="26"/>
  <c r="AK31" i="26"/>
  <c r="AL32" i="27"/>
  <c r="BM32" i="27"/>
  <c r="Z31" i="9"/>
  <c r="Y31" i="9"/>
  <c r="Z32" i="9"/>
  <c r="AK34" i="26"/>
  <c r="AL35" i="27"/>
  <c r="BI31" i="27"/>
  <c r="BE31" i="27"/>
  <c r="AO42" i="27"/>
  <c r="AN41" i="26"/>
  <c r="BA27" i="27"/>
  <c r="AL27" i="27"/>
  <c r="AK26" i="26"/>
  <c r="BM35" i="27"/>
  <c r="Y34" i="9"/>
  <c r="AC13" i="26"/>
  <c r="AD14" i="27"/>
  <c r="AH29" i="27"/>
  <c r="AG28" i="26"/>
  <c r="AO18" i="26"/>
  <c r="AP19" i="27"/>
  <c r="AC9" i="26"/>
  <c r="AD10" i="27"/>
  <c r="BI41" i="27"/>
  <c r="X36" i="26"/>
  <c r="AA12" i="27"/>
  <c r="AB8" i="26"/>
  <c r="AC9" i="27"/>
  <c r="BA9" i="27"/>
  <c r="BF8" i="27"/>
  <c r="BE6" i="27"/>
  <c r="AB27" i="26"/>
  <c r="AC28" i="27"/>
  <c r="BB5" i="27"/>
  <c r="AW13" i="27"/>
  <c r="AB10" i="26"/>
  <c r="AC11" i="27"/>
  <c r="BA52" i="27"/>
  <c r="BE52" i="27"/>
  <c r="BA44" i="27"/>
  <c r="BA49" i="27"/>
  <c r="BN49" i="27"/>
  <c r="BF40" i="27"/>
  <c r="AK46" i="27"/>
  <c r="AJ45" i="26"/>
  <c r="BI16" i="27"/>
  <c r="AK16" i="27"/>
  <c r="AJ15" i="26"/>
  <c r="AG49" i="26"/>
  <c r="AH50" i="27"/>
  <c r="AK36" i="27"/>
  <c r="AJ35" i="26"/>
  <c r="BA4" i="27"/>
  <c r="BF48" i="27"/>
  <c r="AK47" i="26"/>
  <c r="AL48" i="27"/>
  <c r="BF29" i="27"/>
  <c r="BM29" i="27"/>
  <c r="Y28" i="9"/>
  <c r="AP33" i="27"/>
  <c r="AO32" i="26"/>
  <c r="BJ19" i="27"/>
  <c r="AJ9" i="26"/>
  <c r="AK10" i="27"/>
  <c r="BN10" i="27"/>
  <c r="Z4" i="9"/>
  <c r="BB45" i="27"/>
  <c r="BE45" i="27"/>
  <c r="BJ18" i="27"/>
  <c r="AJ25" i="26"/>
  <c r="AK26" i="27"/>
  <c r="BM26" i="27"/>
  <c r="Z25" i="9"/>
  <c r="Y25" i="9"/>
  <c r="AO11" i="26"/>
  <c r="AP12" i="27"/>
  <c r="BJ34" i="27"/>
  <c r="BI51" i="27"/>
  <c r="AW51" i="27"/>
  <c r="AJ38" i="26"/>
  <c r="AK39" i="27"/>
  <c r="BA7" i="27"/>
  <c r="BM7" i="27"/>
  <c r="AK6" i="9" s="1"/>
  <c r="Z6" i="9"/>
  <c r="Y6" i="9"/>
  <c r="AJ14" i="26"/>
  <c r="AK15" i="27"/>
  <c r="AC23" i="26"/>
  <c r="AD24" i="27"/>
  <c r="AL47" i="27"/>
  <c r="AK46" i="26"/>
  <c r="AG16" i="26"/>
  <c r="AH17" i="27"/>
  <c r="AP17" i="27"/>
  <c r="AO16" i="26"/>
  <c r="BI22" i="27"/>
  <c r="BJ22" i="27"/>
  <c r="AL37" i="27"/>
  <c r="AK36" i="26"/>
  <c r="AC20" i="26"/>
  <c r="AD21" i="27"/>
  <c r="AO20" i="26"/>
  <c r="AP21" i="27"/>
  <c r="BJ25" i="27"/>
  <c r="AF37" i="26"/>
  <c r="AG38" i="27"/>
  <c r="AC42" i="26"/>
  <c r="AD43" i="27"/>
  <c r="AF31" i="26"/>
  <c r="AG32" i="27"/>
  <c r="BE35" i="27"/>
  <c r="BE41" i="27"/>
  <c r="AB30" i="26"/>
  <c r="AC31" i="27"/>
  <c r="BB31" i="27"/>
  <c r="AJ41" i="26"/>
  <c r="AK42" i="27"/>
  <c r="AF26" i="26"/>
  <c r="AG27" i="27"/>
  <c r="BJ27" i="27"/>
  <c r="Y40" i="26"/>
  <c r="BE9" i="27"/>
  <c r="AC8" i="26"/>
  <c r="AD9" i="27"/>
  <c r="AK7" i="26"/>
  <c r="AL8" i="27"/>
  <c r="AJ5" i="26"/>
  <c r="AK6" i="27"/>
  <c r="AC27" i="26"/>
  <c r="AD28" i="27"/>
  <c r="BE28" i="27"/>
  <c r="AW5" i="27"/>
  <c r="BJ13" i="27"/>
  <c r="AG10" i="26"/>
  <c r="AH11" i="27"/>
  <c r="AJ51" i="26"/>
  <c r="AK52" i="27"/>
  <c r="BN52" i="27"/>
  <c r="AH44" i="27"/>
  <c r="AG43" i="26"/>
  <c r="AG48" i="26"/>
  <c r="AH49" i="27"/>
  <c r="BM49" i="27"/>
  <c r="Y48" i="9"/>
  <c r="BJ40" i="27"/>
  <c r="AB45" i="26"/>
  <c r="AC46" i="27"/>
  <c r="AP20" i="27"/>
  <c r="AO19" i="26"/>
  <c r="AH16" i="27"/>
  <c r="AG15" i="26"/>
  <c r="BA16" i="27"/>
  <c r="AD50" i="27"/>
  <c r="AC49" i="26"/>
  <c r="AG35" i="26"/>
  <c r="AH36" i="27"/>
  <c r="AC3" i="26"/>
  <c r="AD4" i="27"/>
  <c r="BI48" i="27"/>
  <c r="BE48" i="27"/>
  <c r="AK14" i="27"/>
  <c r="AJ13" i="26"/>
  <c r="AC28" i="26"/>
  <c r="AD29" i="27"/>
  <c r="AO33" i="27"/>
  <c r="AN32" i="26"/>
  <c r="BI19" i="27"/>
  <c r="AK9" i="26"/>
  <c r="AL10" i="27"/>
  <c r="BM10" i="27"/>
  <c r="Z9" i="9"/>
  <c r="Y9" i="9"/>
  <c r="BA45" i="27"/>
  <c r="BJ45" i="27"/>
  <c r="AK17" i="26"/>
  <c r="AL18" i="27"/>
  <c r="BF30" i="27"/>
  <c r="AK25" i="26"/>
  <c r="AL26" i="27"/>
  <c r="BI12" i="27"/>
  <c r="BF34" i="27"/>
  <c r="AH51" i="27"/>
  <c r="AG50" i="26"/>
  <c r="BB51" i="27"/>
  <c r="AC38" i="26"/>
  <c r="AD39" i="27"/>
  <c r="AF6" i="26"/>
  <c r="AG7" i="27"/>
  <c r="BI15" i="27"/>
  <c r="BF24" i="27"/>
  <c r="AO23" i="26"/>
  <c r="AP24" i="27"/>
  <c r="BF47" i="27"/>
  <c r="AF16" i="26"/>
  <c r="AG17" i="27"/>
  <c r="BB17" i="27"/>
  <c r="BA22" i="27"/>
  <c r="BF22" i="27"/>
  <c r="BI37" i="27"/>
  <c r="BI21" i="27"/>
  <c r="BA21" i="27"/>
  <c r="AK25" i="27"/>
  <c r="AJ24" i="26"/>
  <c r="BE38" i="27"/>
  <c r="BB43" i="27"/>
  <c r="BE43" i="27"/>
  <c r="AO31" i="26"/>
  <c r="AP32" i="27"/>
  <c r="Z24" i="9"/>
  <c r="AK35" i="27"/>
  <c r="AJ34" i="26"/>
  <c r="AO41" i="27"/>
  <c r="AN40" i="26"/>
  <c r="BN31" i="27"/>
  <c r="BA42" i="27"/>
  <c r="AC26" i="26"/>
  <c r="AD27" i="27"/>
  <c r="BN27" i="27"/>
  <c r="AG4" i="26"/>
  <c r="AH5" i="27"/>
  <c r="Y21" i="26"/>
  <c r="AG8" i="26"/>
  <c r="AH9" i="27"/>
  <c r="BN9" i="27"/>
  <c r="AB7" i="26"/>
  <c r="AC8" i="27"/>
  <c r="AC5" i="26"/>
  <c r="AD6" i="27"/>
  <c r="AO27" i="26"/>
  <c r="AP28" i="27"/>
  <c r="BE5" i="27"/>
  <c r="AH13" i="27"/>
  <c r="AG12" i="26"/>
  <c r="AB12" i="26"/>
  <c r="AC13" i="27"/>
  <c r="AF10" i="26"/>
  <c r="AG11" i="27"/>
  <c r="AO51" i="26"/>
  <c r="AP52" i="27"/>
  <c r="AG39" i="26"/>
  <c r="AH40" i="27"/>
  <c r="AH20" i="27"/>
  <c r="AG19" i="26"/>
  <c r="BN16" i="27"/>
  <c r="BI50" i="27"/>
  <c r="AG36" i="27"/>
  <c r="AF35" i="26"/>
  <c r="BF4" i="27"/>
  <c r="BA48" i="27"/>
  <c r="BN48" i="27"/>
  <c r="BF14" i="27"/>
  <c r="AC29" i="27"/>
  <c r="AB28" i="26"/>
  <c r="AB32" i="26"/>
  <c r="AC33" i="27"/>
  <c r="AW33" i="27"/>
  <c r="AG18" i="26"/>
  <c r="AH19" i="27"/>
  <c r="BJ10" i="27"/>
  <c r="AK45" i="27"/>
  <c r="AJ44" i="26"/>
  <c r="BN45" i="27"/>
  <c r="AH18" i="27"/>
  <c r="AG17" i="26"/>
  <c r="AJ29" i="26"/>
  <c r="AK30" i="27"/>
  <c r="BB26" i="27"/>
  <c r="Z40" i="9"/>
  <c r="BF12" i="27"/>
  <c r="AG33" i="26"/>
  <c r="AH34" i="27"/>
  <c r="BA51" i="27"/>
  <c r="BN51" i="27"/>
  <c r="Z48" i="9"/>
  <c r="BJ39" i="27"/>
  <c r="AN6" i="26"/>
  <c r="AO7" i="27"/>
  <c r="AK14" i="26"/>
  <c r="AL15" i="27"/>
  <c r="BB24" i="27"/>
  <c r="AF23" i="26"/>
  <c r="AG24" i="27"/>
  <c r="AB46" i="26"/>
  <c r="AC47" i="27"/>
  <c r="AD17" i="27"/>
  <c r="AC16" i="26"/>
  <c r="BN17" i="27"/>
  <c r="AP22" i="27"/>
  <c r="AO21" i="26"/>
  <c r="BN22" i="27"/>
  <c r="BE37" i="27"/>
  <c r="AL21" i="27"/>
  <c r="AK20" i="26"/>
  <c r="BN21" i="27"/>
  <c r="BA25" i="27"/>
  <c r="BA38" i="27"/>
  <c r="AN42" i="26"/>
  <c r="AO43" i="27"/>
  <c r="AC43" i="27"/>
  <c r="AB42" i="26"/>
  <c r="BI32" i="27"/>
  <c r="AO34" i="26"/>
  <c r="AP35" i="27"/>
  <c r="AC41" i="27"/>
  <c r="AB40" i="26"/>
  <c r="AO30" i="26"/>
  <c r="AP31" i="27"/>
  <c r="BM31" i="27"/>
  <c r="Y30" i="9"/>
  <c r="BJ42" i="27"/>
  <c r="AW27" i="27"/>
  <c r="BM27" i="27"/>
  <c r="Z26" i="9"/>
  <c r="Y26" i="9"/>
  <c r="BB44" i="27"/>
  <c r="AA33" i="27"/>
  <c r="BI9" i="27"/>
  <c r="BM9" i="27"/>
  <c r="Y8" i="9"/>
  <c r="BA8" i="27"/>
  <c r="AF5" i="26"/>
  <c r="AG6" i="27"/>
  <c r="AK27" i="26"/>
  <c r="AL28" i="27"/>
  <c r="BN28" i="27"/>
  <c r="BF5" i="27"/>
  <c r="AF12" i="26"/>
  <c r="AG13" i="27"/>
  <c r="AN12" i="26"/>
  <c r="AO13" i="27"/>
  <c r="BA11" i="27"/>
  <c r="BI52" i="27"/>
  <c r="BI44" i="27"/>
  <c r="AL49" i="27"/>
  <c r="AK48" i="26"/>
  <c r="AN45" i="26"/>
  <c r="AO46" i="27"/>
  <c r="AG20" i="27"/>
  <c r="AF19" i="26"/>
  <c r="AL16" i="27"/>
  <c r="AK15" i="26"/>
  <c r="BM16" i="27"/>
  <c r="Y15" i="9"/>
  <c r="BE50" i="27"/>
  <c r="AN35" i="26"/>
  <c r="AO36" i="27"/>
  <c r="AW36" i="27"/>
  <c r="AF3" i="26"/>
  <c r="AG4" i="27"/>
  <c r="AN47" i="26"/>
  <c r="AO48" i="27"/>
  <c r="BM48" i="27"/>
  <c r="Z47" i="9"/>
  <c r="Y47" i="9"/>
  <c r="AN13" i="26"/>
  <c r="AO14" i="27"/>
  <c r="AF28" i="26"/>
  <c r="AG29" i="27"/>
  <c r="AG32" i="26"/>
  <c r="AH33" i="27"/>
  <c r="AL33" i="27"/>
  <c r="AK32" i="26"/>
  <c r="AW19" i="27"/>
  <c r="BA10" i="27"/>
  <c r="AW45" i="27"/>
  <c r="BM45" i="27"/>
  <c r="Z44" i="9"/>
  <c r="Y44" i="9"/>
  <c r="AB17" i="26"/>
  <c r="AC18" i="27"/>
  <c r="AH30" i="27"/>
  <c r="AG29" i="26"/>
  <c r="AH26" i="27"/>
  <c r="AG25" i="26"/>
  <c r="AG11" i="26"/>
  <c r="AH12" i="27"/>
  <c r="BB34" i="27"/>
  <c r="AK51" i="27"/>
  <c r="AJ50" i="26"/>
  <c r="BM51" i="27"/>
  <c r="Z50" i="9"/>
  <c r="Y50" i="9"/>
  <c r="AB38" i="26"/>
  <c r="AC39" i="27"/>
  <c r="BI7" i="27"/>
  <c r="AO15" i="27"/>
  <c r="AN14" i="26"/>
  <c r="AW15" i="27"/>
  <c r="AB23" i="26"/>
  <c r="AC24" i="27"/>
  <c r="BN24" i="27"/>
  <c r="Z23" i="9"/>
  <c r="Z35" i="9"/>
  <c r="AN46" i="26"/>
  <c r="AO47" i="27"/>
  <c r="AJ16" i="26"/>
  <c r="AK17" i="27"/>
  <c r="BM17" i="27"/>
  <c r="AK16" i="9" s="1"/>
  <c r="Z16" i="9"/>
  <c r="Y16" i="9"/>
  <c r="AC22" i="27"/>
  <c r="AB21" i="26"/>
  <c r="BM22" i="27"/>
  <c r="Y21" i="9"/>
  <c r="AO36" i="26"/>
  <c r="AP37" i="27"/>
  <c r="BF21" i="27"/>
  <c r="BM21" i="27"/>
  <c r="Z20" i="9"/>
  <c r="Y20" i="9"/>
  <c r="BE25" i="27"/>
  <c r="AK38" i="27"/>
  <c r="AJ37" i="26"/>
  <c r="AF42" i="26"/>
  <c r="AG43" i="27"/>
  <c r="BN43" i="27"/>
  <c r="AN31" i="26"/>
  <c r="AO32" i="27"/>
  <c r="AC34" i="26"/>
  <c r="AD35" i="27"/>
  <c r="AF34" i="26"/>
  <c r="AG35" i="27"/>
  <c r="AC40" i="26"/>
  <c r="AD41" i="27"/>
  <c r="AK30" i="26"/>
  <c r="AL31" i="27"/>
  <c r="AD42" i="27"/>
  <c r="AC41" i="26"/>
  <c r="AB26" i="26"/>
  <c r="AC27" i="27"/>
  <c r="BM52" i="27"/>
  <c r="Y51" i="9"/>
  <c r="AG9" i="27"/>
  <c r="AF8" i="26"/>
  <c r="AJ7" i="26"/>
  <c r="AK8" i="27"/>
  <c r="BF28" i="27"/>
  <c r="BM28" i="27"/>
  <c r="Z27" i="9"/>
  <c r="Y27" i="9"/>
  <c r="BA5" i="27"/>
  <c r="BB13" i="27"/>
  <c r="BN13" i="27"/>
  <c r="AD11" i="27"/>
  <c r="AC10" i="26"/>
  <c r="AH52" i="27"/>
  <c r="AG51" i="26"/>
  <c r="BJ44" i="27"/>
  <c r="AB48" i="26"/>
  <c r="AC49" i="27"/>
  <c r="BB40" i="27"/>
  <c r="BE46" i="27"/>
  <c r="BJ46" i="27"/>
  <c r="AC19" i="26"/>
  <c r="AD20" i="27"/>
  <c r="AF15" i="26"/>
  <c r="AG16" i="27"/>
  <c r="BJ50" i="27"/>
  <c r="BI36" i="27"/>
  <c r="AJ3" i="26"/>
  <c r="AK4" i="27"/>
  <c r="AO4" i="27"/>
  <c r="AN3" i="26"/>
  <c r="BB48" i="27"/>
  <c r="BJ14" i="27"/>
  <c r="BE29" i="27"/>
  <c r="BE33" i="27"/>
  <c r="BN33" i="27"/>
  <c r="BA19" i="27"/>
  <c r="AN9" i="26"/>
  <c r="AO10" i="27"/>
  <c r="BI45" i="27"/>
  <c r="BA18" i="27"/>
  <c r="AL30" i="27"/>
  <c r="AK29" i="26"/>
  <c r="BE26" i="27"/>
  <c r="BJ12" i="27"/>
  <c r="BE12" i="27"/>
  <c r="AF33" i="26"/>
  <c r="AG34" i="27"/>
  <c r="BF51" i="27"/>
  <c r="Z13" i="9"/>
  <c r="AO38" i="26"/>
  <c r="AP39" i="27"/>
  <c r="BB7" i="27"/>
  <c r="BJ15" i="27"/>
  <c r="BN15" i="27"/>
  <c r="AW24" i="27"/>
  <c r="BM24" i="27"/>
  <c r="AK23" i="9" s="1"/>
  <c r="Y23" i="9"/>
  <c r="BE47" i="27"/>
  <c r="AW17" i="27"/>
  <c r="AC21" i="26"/>
  <c r="AD22" i="27"/>
  <c r="AD37" i="27"/>
  <c r="AC36" i="26"/>
  <c r="AJ20" i="26"/>
  <c r="AK21" i="27"/>
  <c r="AC24" i="26"/>
  <c r="AD25" i="27"/>
  <c r="BB38" i="27"/>
  <c r="BJ43" i="27"/>
  <c r="BM43" i="27"/>
  <c r="Z42" i="9"/>
  <c r="Y42" i="9"/>
  <c r="BF32" i="27"/>
  <c r="AB34" i="26"/>
  <c r="AC35" i="27"/>
  <c r="BN35" i="27"/>
  <c r="AW41" i="27"/>
  <c r="AW31" i="27"/>
  <c r="AO41" i="26"/>
  <c r="AP42" i="27"/>
  <c r="BB42" i="27"/>
  <c r="BI27" i="27"/>
  <c r="BE13" i="27"/>
  <c r="AW52" i="27"/>
  <c r="AK43" i="26"/>
  <c r="AL44" i="27"/>
  <c r="AO45" i="26"/>
  <c r="AP46" i="27"/>
  <c r="BF20" i="27"/>
  <c r="AF49" i="26"/>
  <c r="AG50" i="27"/>
  <c r="BE4" i="27"/>
  <c r="AK13" i="26"/>
  <c r="AL14" i="27"/>
  <c r="AO44" i="26"/>
  <c r="AP45" i="27"/>
  <c r="AG18" i="27"/>
  <c r="AF17" i="26"/>
  <c r="AG26" i="27"/>
  <c r="AF25" i="26"/>
  <c r="BN12" i="27"/>
  <c r="AF50" i="26"/>
  <c r="AG51" i="27"/>
  <c r="AF38" i="26"/>
  <c r="AG39" i="27"/>
  <c r="BB15" i="27"/>
  <c r="BA17" i="27"/>
  <c r="AN26" i="26"/>
  <c r="AO27" i="27"/>
  <c r="AJ27" i="26"/>
  <c r="AK28" i="27"/>
  <c r="Y37" i="26"/>
  <c r="BJ9" i="27"/>
  <c r="BB8" i="27"/>
  <c r="BI8" i="27"/>
  <c r="AN5" i="26"/>
  <c r="AO6" i="27"/>
  <c r="BI28" i="27"/>
  <c r="AO4" i="26"/>
  <c r="AP5" i="27"/>
  <c r="BI13" i="27"/>
  <c r="BM13" i="27"/>
  <c r="Z12" i="9"/>
  <c r="Y12" i="9"/>
  <c r="AO10" i="26"/>
  <c r="AP11" i="27"/>
  <c r="AL52" i="27"/>
  <c r="AK51" i="26"/>
  <c r="AN43" i="26"/>
  <c r="AO44" i="27"/>
  <c r="BF49" i="27"/>
  <c r="BE40" i="27"/>
  <c r="AC45" i="26"/>
  <c r="AD46" i="27"/>
  <c r="BB46" i="27"/>
  <c r="AB19" i="26"/>
  <c r="AC20" i="27"/>
  <c r="BB16" i="27"/>
  <c r="AB49" i="26"/>
  <c r="AC50" i="27"/>
  <c r="BF36" i="27"/>
  <c r="BN36" i="27"/>
  <c r="AG3" i="26"/>
  <c r="AH4" i="27"/>
  <c r="AW4" i="27"/>
  <c r="BB14" i="27"/>
  <c r="AJ28" i="26"/>
  <c r="AK29" i="27"/>
  <c r="BM33" i="27"/>
  <c r="Y32" i="9"/>
  <c r="BB19" i="27"/>
  <c r="BE10" i="27"/>
  <c r="AC44" i="26"/>
  <c r="AD45" i="27"/>
  <c r="AP18" i="27"/>
  <c r="AO17" i="26"/>
  <c r="BI18" i="27"/>
  <c r="BA30" i="27"/>
  <c r="AO25" i="26"/>
  <c r="AP26" i="27"/>
  <c r="BA12" i="27"/>
  <c r="BA34" i="27"/>
  <c r="BJ51" i="27"/>
  <c r="BE39" i="27"/>
  <c r="AC14" i="26"/>
  <c r="AD15" i="27"/>
  <c r="BM15" i="27"/>
  <c r="Y14" i="9"/>
  <c r="BE24" i="27"/>
  <c r="AJ46" i="26"/>
  <c r="AK47" i="27"/>
  <c r="AN16" i="26"/>
  <c r="AO17" i="27"/>
  <c r="AW22" i="27"/>
  <c r="BF37" i="27"/>
  <c r="AW21" i="27"/>
  <c r="AO24" i="26"/>
  <c r="AP25" i="27"/>
  <c r="BB25" i="27"/>
  <c r="AL38" i="27"/>
  <c r="AK37" i="26"/>
  <c r="AP43" i="27"/>
  <c r="AO42" i="26"/>
  <c r="BE32" i="27"/>
  <c r="AH35" i="27"/>
  <c r="AG34" i="26"/>
  <c r="AN34" i="26"/>
  <c r="AO35" i="27"/>
  <c r="BJ41" i="27"/>
  <c r="AF30" i="26"/>
  <c r="AG31" i="27"/>
  <c r="BE42" i="27"/>
  <c r="AK41" i="26"/>
  <c r="AL42" i="27"/>
  <c r="BI3" i="27"/>
  <c r="AN2" i="26"/>
  <c r="AO3" i="27"/>
  <c r="X2" i="9"/>
  <c r="BJ3" i="27"/>
  <c r="BB3" i="27"/>
  <c r="AW3" i="27"/>
  <c r="AL3" i="27"/>
  <c r="AK2" i="26"/>
  <c r="AJ2" i="26"/>
  <c r="AK3" i="27"/>
  <c r="AD2" i="9" s="1"/>
  <c r="AC3" i="27"/>
  <c r="AB2" i="26"/>
  <c r="AF2" i="26"/>
  <c r="AG3" i="27"/>
  <c r="BA3" i="27"/>
  <c r="AH2" i="9" s="1"/>
  <c r="BF3" i="27"/>
  <c r="AP3" i="27"/>
  <c r="AO2" i="26"/>
  <c r="AH3" i="27"/>
  <c r="AG2" i="26"/>
  <c r="X2" i="26"/>
  <c r="Y3" i="27"/>
  <c r="AC2" i="26"/>
  <c r="AD3" i="27"/>
  <c r="BE3" i="27"/>
  <c r="BN3" i="27"/>
  <c r="Y2" i="26"/>
  <c r="Z3" i="27"/>
  <c r="BM3" i="27"/>
  <c r="Y2" i="9"/>
  <c r="W2" i="9"/>
  <c r="AZ2" i="28" s="1"/>
  <c r="AX3" i="27"/>
  <c r="AA40" i="9"/>
  <c r="Z46" i="26"/>
  <c r="Z18" i="26"/>
  <c r="Z19" i="26"/>
  <c r="Z4" i="26"/>
  <c r="Z26" i="26"/>
  <c r="F26" i="9" s="1"/>
  <c r="AA19" i="27"/>
  <c r="AA36" i="27"/>
  <c r="V2" i="9"/>
  <c r="BY2" i="28" s="1"/>
  <c r="Z10" i="26"/>
  <c r="AA28" i="27"/>
  <c r="AA27" i="9" s="1"/>
  <c r="Z37" i="26"/>
  <c r="AA30" i="27"/>
  <c r="AA38" i="27"/>
  <c r="AA37" i="9" s="1"/>
  <c r="AA40" i="27"/>
  <c r="AA42" i="9"/>
  <c r="AA22" i="9"/>
  <c r="AA11" i="27"/>
  <c r="AA10" i="9" s="1"/>
  <c r="Z20" i="26"/>
  <c r="F20" i="9" s="1"/>
  <c r="AA21" i="27"/>
  <c r="AA20" i="9" s="1"/>
  <c r="Z36" i="26"/>
  <c r="AA37" i="27"/>
  <c r="AA7" i="27"/>
  <c r="Z6" i="26"/>
  <c r="E40" i="9"/>
  <c r="G40" i="28" s="1"/>
  <c r="Z48" i="26"/>
  <c r="AA2" i="9"/>
  <c r="AA52" i="27"/>
  <c r="AA8" i="27"/>
  <c r="AA35" i="27"/>
  <c r="E42" i="9"/>
  <c r="G42" i="28" s="1"/>
  <c r="AA25" i="27"/>
  <c r="AA24" i="9" s="1"/>
  <c r="E20" i="9"/>
  <c r="E20" i="28" s="1"/>
  <c r="Z24" i="26"/>
  <c r="F24" i="9" s="1"/>
  <c r="AA44" i="27"/>
  <c r="Z43" i="26"/>
  <c r="E22" i="9"/>
  <c r="E22" i="28" s="1"/>
  <c r="E30" i="9"/>
  <c r="E30" i="28" s="1"/>
  <c r="AA46" i="27"/>
  <c r="AD10" i="26"/>
  <c r="AE11" i="27"/>
  <c r="G10" i="9"/>
  <c r="AZ7" i="27"/>
  <c r="BC29" i="27"/>
  <c r="S28" i="9"/>
  <c r="Z3" i="26"/>
  <c r="AL47" i="26"/>
  <c r="AM48" i="27"/>
  <c r="K47" i="9"/>
  <c r="AH10" i="26"/>
  <c r="AI11" i="27"/>
  <c r="I10" i="9"/>
  <c r="BC14" i="27"/>
  <c r="S13" i="9"/>
  <c r="AL6" i="26"/>
  <c r="AM7" i="27"/>
  <c r="K6" i="9"/>
  <c r="AJ11" i="27"/>
  <c r="AI10" i="26"/>
  <c r="BK44" i="27"/>
  <c r="W43" i="9"/>
  <c r="Q31" i="9"/>
  <c r="AY32" i="27"/>
  <c r="AM51" i="27"/>
  <c r="AL50" i="26"/>
  <c r="K50" i="9"/>
  <c r="BL7" i="27"/>
  <c r="AY28" i="27"/>
  <c r="Q27" i="9"/>
  <c r="W5" i="9"/>
  <c r="BK6" i="27"/>
  <c r="AN20" i="27"/>
  <c r="AM19" i="26"/>
  <c r="AJ19" i="27"/>
  <c r="AI18" i="26"/>
  <c r="Q39" i="9"/>
  <c r="AY40" i="27"/>
  <c r="AJ29" i="27"/>
  <c r="AI28" i="26"/>
  <c r="BG38" i="27"/>
  <c r="U37" i="9"/>
  <c r="Q12" i="9"/>
  <c r="AY13" i="27"/>
  <c r="AH14" i="26"/>
  <c r="AI15" i="27"/>
  <c r="I14" i="9"/>
  <c r="BL40" i="27"/>
  <c r="AL28" i="26"/>
  <c r="AM29" i="27"/>
  <c r="K28" i="9"/>
  <c r="E13" i="9"/>
  <c r="G13" i="28" s="1"/>
  <c r="Q48" i="9"/>
  <c r="AY49" i="27"/>
  <c r="BL14" i="27"/>
  <c r="AF46" i="27"/>
  <c r="AE45" i="26"/>
  <c r="AN35" i="27"/>
  <c r="AM34" i="26"/>
  <c r="BH21" i="27"/>
  <c r="AE37" i="27"/>
  <c r="AD36" i="26"/>
  <c r="G36" i="9"/>
  <c r="Q46" i="9"/>
  <c r="AY47" i="27"/>
  <c r="AH43" i="26"/>
  <c r="AI44" i="27"/>
  <c r="I43" i="9"/>
  <c r="Q20" i="9"/>
  <c r="AY21" i="27"/>
  <c r="AZ52" i="27"/>
  <c r="AJ18" i="27"/>
  <c r="AI17" i="26"/>
  <c r="BL43" i="27"/>
  <c r="AN12" i="27"/>
  <c r="AM11" i="26"/>
  <c r="AI16" i="27"/>
  <c r="AH15" i="26"/>
  <c r="I15" i="9"/>
  <c r="AR33" i="27"/>
  <c r="AQ32" i="26"/>
  <c r="BD32" i="27"/>
  <c r="AI12" i="27"/>
  <c r="AH11" i="26"/>
  <c r="I11" i="9"/>
  <c r="BH16" i="27"/>
  <c r="BG33" i="27"/>
  <c r="U32" i="9"/>
  <c r="BG32" i="27"/>
  <c r="U31" i="9"/>
  <c r="AN37" i="27"/>
  <c r="AM36" i="26"/>
  <c r="BH7" i="27"/>
  <c r="AI8" i="27"/>
  <c r="AH7" i="26"/>
  <c r="I7" i="9"/>
  <c r="Q19" i="9"/>
  <c r="AY20" i="27"/>
  <c r="AZ42" i="27"/>
  <c r="BC27" i="27"/>
  <c r="S26" i="9"/>
  <c r="AH5" i="26"/>
  <c r="AI6" i="27"/>
  <c r="I5" i="9"/>
  <c r="BG42" i="27"/>
  <c r="U41" i="9"/>
  <c r="AN19" i="27"/>
  <c r="AM18" i="26"/>
  <c r="AZ34" i="27"/>
  <c r="AM34" i="27"/>
  <c r="AL33" i="26"/>
  <c r="K33" i="9"/>
  <c r="U39" i="9"/>
  <c r="BG40" i="27"/>
  <c r="AP44" i="26"/>
  <c r="AQ45" i="27"/>
  <c r="M44" i="9"/>
  <c r="AR29" i="27"/>
  <c r="AQ28" i="26"/>
  <c r="W29" i="9"/>
  <c r="BK30" i="27"/>
  <c r="AF31" i="27"/>
  <c r="AE30" i="26"/>
  <c r="Q37" i="9"/>
  <c r="AY38" i="27"/>
  <c r="S12" i="9"/>
  <c r="BC13" i="27"/>
  <c r="AM15" i="27"/>
  <c r="AL14" i="26"/>
  <c r="K14" i="9"/>
  <c r="AE8" i="26"/>
  <c r="AF9" i="27"/>
  <c r="BD40" i="27"/>
  <c r="AJ5" i="27"/>
  <c r="AI4" i="26"/>
  <c r="AI29" i="27"/>
  <c r="AH28" i="26"/>
  <c r="I28" i="9"/>
  <c r="AR10" i="27"/>
  <c r="AQ9" i="26"/>
  <c r="AH30" i="26"/>
  <c r="AI31" i="27"/>
  <c r="I30" i="9"/>
  <c r="AD38" i="26"/>
  <c r="AE39" i="27"/>
  <c r="G38" i="9"/>
  <c r="Z5" i="26"/>
  <c r="Z8" i="26"/>
  <c r="Z22" i="26"/>
  <c r="AQ11" i="27"/>
  <c r="AP10" i="26"/>
  <c r="M10" i="9"/>
  <c r="AP22" i="26"/>
  <c r="M22" i="9"/>
  <c r="AQ23" i="27"/>
  <c r="AM49" i="27"/>
  <c r="AL48" i="26"/>
  <c r="K48" i="9"/>
  <c r="AL13" i="26"/>
  <c r="AM14" i="27"/>
  <c r="K13" i="9"/>
  <c r="U6" i="9"/>
  <c r="BG7" i="27"/>
  <c r="AN36" i="27"/>
  <c r="AM35" i="26"/>
  <c r="BD11" i="27"/>
  <c r="AN49" i="27"/>
  <c r="AM48" i="26"/>
  <c r="AJ50" i="27"/>
  <c r="AI49" i="26"/>
  <c r="BL46" i="27"/>
  <c r="AF44" i="27"/>
  <c r="AE43" i="26"/>
  <c r="BL35" i="27"/>
  <c r="S36" i="9"/>
  <c r="BC37" i="27"/>
  <c r="AE24" i="26"/>
  <c r="AF25" i="27"/>
  <c r="BK46" i="27"/>
  <c r="W45" i="9"/>
  <c r="BK47" i="27"/>
  <c r="W46" i="9"/>
  <c r="AQ21" i="27"/>
  <c r="AP20" i="26"/>
  <c r="M20" i="9"/>
  <c r="BH52" i="27"/>
  <c r="AL24" i="26"/>
  <c r="AM25" i="27"/>
  <c r="K24" i="9"/>
  <c r="BD18" i="27"/>
  <c r="AF12" i="27"/>
  <c r="AE11" i="26"/>
  <c r="AD15" i="26"/>
  <c r="G15" i="9"/>
  <c r="AE16" i="27"/>
  <c r="AJ4" i="27"/>
  <c r="AI3" i="26"/>
  <c r="BD33" i="27"/>
  <c r="BK12" i="27"/>
  <c r="W11" i="9"/>
  <c r="AZ16" i="27"/>
  <c r="S32" i="9"/>
  <c r="BC33" i="27"/>
  <c r="AL31" i="26"/>
  <c r="AM32" i="27"/>
  <c r="K31" i="9"/>
  <c r="AF41" i="27"/>
  <c r="AE40" i="26"/>
  <c r="BD37" i="27"/>
  <c r="AN27" i="27"/>
  <c r="AM26" i="26"/>
  <c r="BD6" i="27"/>
  <c r="AE8" i="27"/>
  <c r="AD7" i="26"/>
  <c r="G7" i="9"/>
  <c r="AE20" i="27"/>
  <c r="AD19" i="26"/>
  <c r="G19" i="9"/>
  <c r="BD42" i="27"/>
  <c r="AN13" i="27"/>
  <c r="AM12" i="26"/>
  <c r="AM27" i="27"/>
  <c r="AL26" i="26"/>
  <c r="K26" i="9"/>
  <c r="Q5" i="9"/>
  <c r="AY6" i="27"/>
  <c r="AJ17" i="27"/>
  <c r="AI16" i="26"/>
  <c r="BD20" i="27"/>
  <c r="AI42" i="27"/>
  <c r="AH41" i="26"/>
  <c r="I41" i="9"/>
  <c r="AR19" i="27"/>
  <c r="AQ18" i="26"/>
  <c r="AI33" i="26"/>
  <c r="AJ34" i="27"/>
  <c r="BG34" i="27"/>
  <c r="U33" i="9"/>
  <c r="AQ40" i="27"/>
  <c r="AP39" i="26"/>
  <c r="M39" i="9"/>
  <c r="AN29" i="27"/>
  <c r="AM28" i="26"/>
  <c r="AD29" i="26"/>
  <c r="AE30" i="27"/>
  <c r="G29" i="9"/>
  <c r="AN31" i="27"/>
  <c r="AM30" i="26"/>
  <c r="BK38" i="27"/>
  <c r="W37" i="9"/>
  <c r="BD39" i="27"/>
  <c r="Q14" i="9"/>
  <c r="AY15" i="27"/>
  <c r="BH9" i="27"/>
  <c r="BH40" i="27"/>
  <c r="AR5" i="27"/>
  <c r="AQ4" i="26"/>
  <c r="AD28" i="26"/>
  <c r="AE29" i="27"/>
  <c r="G28" i="9"/>
  <c r="AF10" i="27"/>
  <c r="AE9" i="26"/>
  <c r="Q30" i="9"/>
  <c r="AY31" i="27"/>
  <c r="U38" i="9"/>
  <c r="BG39" i="27"/>
  <c r="BL9" i="27"/>
  <c r="AJ49" i="27"/>
  <c r="AI48" i="26"/>
  <c r="BD14" i="27"/>
  <c r="BH47" i="27"/>
  <c r="AJ35" i="27"/>
  <c r="AI34" i="26"/>
  <c r="BD21" i="27"/>
  <c r="AL36" i="26"/>
  <c r="AM37" i="27"/>
  <c r="K36" i="9"/>
  <c r="AR51" i="27"/>
  <c r="AQ50" i="26"/>
  <c r="AL46" i="26"/>
  <c r="AM47" i="27"/>
  <c r="K46" i="9"/>
  <c r="BK21" i="27"/>
  <c r="W20" i="9"/>
  <c r="BD52" i="27"/>
  <c r="AF18" i="27"/>
  <c r="AE17" i="26"/>
  <c r="BH43" i="27"/>
  <c r="AY16" i="27"/>
  <c r="Q15" i="9"/>
  <c r="AP21" i="26"/>
  <c r="AQ22" i="27"/>
  <c r="M21" i="9"/>
  <c r="AZ32" i="27"/>
  <c r="AQ12" i="27"/>
  <c r="AP11" i="26"/>
  <c r="M11" i="9"/>
  <c r="AJ37" i="27"/>
  <c r="AI36" i="26"/>
  <c r="AL30" i="26"/>
  <c r="AM31" i="27"/>
  <c r="K30" i="9"/>
  <c r="BL25" i="27"/>
  <c r="AA22" i="27"/>
  <c r="AA21" i="9" s="1"/>
  <c r="AA17" i="27"/>
  <c r="S10" i="9"/>
  <c r="BC11" i="27"/>
  <c r="AU2" i="28"/>
  <c r="AS2" i="28"/>
  <c r="BK37" i="27"/>
  <c r="W36" i="9"/>
  <c r="AZ25" i="27"/>
  <c r="AH45" i="26"/>
  <c r="AI46" i="27"/>
  <c r="I45" i="9"/>
  <c r="AD46" i="26"/>
  <c r="AE47" i="27"/>
  <c r="G46" i="9"/>
  <c r="S20" i="9"/>
  <c r="BC21" i="27"/>
  <c r="BK25" i="27"/>
  <c r="W24" i="9"/>
  <c r="BL18" i="27"/>
  <c r="AJ12" i="27"/>
  <c r="AI11" i="26"/>
  <c r="AM16" i="27"/>
  <c r="AL15" i="26"/>
  <c r="K15" i="9"/>
  <c r="AF4" i="27"/>
  <c r="AE3" i="26"/>
  <c r="AZ33" i="27"/>
  <c r="AJ26" i="27"/>
  <c r="AI25" i="26"/>
  <c r="AL11" i="26"/>
  <c r="AM12" i="27"/>
  <c r="K11" i="9"/>
  <c r="AM33" i="27"/>
  <c r="AL32" i="26"/>
  <c r="K32" i="9"/>
  <c r="AD31" i="26"/>
  <c r="AE32" i="27"/>
  <c r="G31" i="9"/>
  <c r="AJ41" i="27"/>
  <c r="AI40" i="26"/>
  <c r="BL37" i="27"/>
  <c r="BH6" i="27"/>
  <c r="U19" i="9"/>
  <c r="BG20" i="27"/>
  <c r="BH42" i="27"/>
  <c r="AR13" i="27"/>
  <c r="AQ12" i="26"/>
  <c r="W26" i="9"/>
  <c r="BK27" i="27"/>
  <c r="AQ6" i="27"/>
  <c r="AP5" i="26"/>
  <c r="M5" i="9"/>
  <c r="AF17" i="27"/>
  <c r="AE16" i="26"/>
  <c r="AZ20" i="27"/>
  <c r="BL19" i="27"/>
  <c r="AM19" i="27"/>
  <c r="AL18" i="26"/>
  <c r="K18" i="9"/>
  <c r="BK34" i="27"/>
  <c r="W33" i="9"/>
  <c r="AD39" i="26"/>
  <c r="AE40" i="27"/>
  <c r="G39" i="9"/>
  <c r="BH29" i="27"/>
  <c r="AR31" i="27"/>
  <c r="AQ30" i="26"/>
  <c r="AH37" i="26"/>
  <c r="AI38" i="27"/>
  <c r="I37" i="9"/>
  <c r="BL39" i="27"/>
  <c r="AN38" i="27"/>
  <c r="AM37" i="26"/>
  <c r="BG15" i="27"/>
  <c r="U14" i="9"/>
  <c r="AZ9" i="27"/>
  <c r="AF5" i="27"/>
  <c r="AE4" i="26"/>
  <c r="AP28" i="26"/>
  <c r="AQ29" i="27"/>
  <c r="M28" i="9"/>
  <c r="AJ10" i="27"/>
  <c r="AI9" i="26"/>
  <c r="AE31" i="27"/>
  <c r="AD30" i="26"/>
  <c r="G30" i="9"/>
  <c r="AQ39" i="27"/>
  <c r="AP38" i="26"/>
  <c r="M38" i="9"/>
  <c r="AZ47" i="27"/>
  <c r="Q21" i="9"/>
  <c r="AY22" i="27"/>
  <c r="AJ42" i="27"/>
  <c r="AI41" i="26"/>
  <c r="BL30" i="27"/>
  <c r="AH22" i="26"/>
  <c r="AI23" i="27"/>
  <c r="I22" i="9"/>
  <c r="BH23" i="27"/>
  <c r="AR46" i="27"/>
  <c r="AQ45" i="26"/>
  <c r="BD16" i="27"/>
  <c r="AJ6" i="27"/>
  <c r="AI5" i="26"/>
  <c r="AL7" i="26"/>
  <c r="AM8" i="27"/>
  <c r="K7" i="9"/>
  <c r="AN42" i="27"/>
  <c r="AM41" i="26"/>
  <c r="AZ8" i="27"/>
  <c r="R7" i="9"/>
  <c r="AQ42" i="27"/>
  <c r="AP41" i="26"/>
  <c r="M41" i="9"/>
  <c r="BL34" i="27"/>
  <c r="AQ34" i="27"/>
  <c r="AP33" i="26"/>
  <c r="M33" i="9"/>
  <c r="U44" i="9"/>
  <c r="BG45" i="27"/>
  <c r="AH29" i="26"/>
  <c r="AI30" i="27"/>
  <c r="I29" i="9"/>
  <c r="AF39" i="27"/>
  <c r="AE38" i="26"/>
  <c r="BD9" i="27"/>
  <c r="AN5" i="27"/>
  <c r="AM4" i="26"/>
  <c r="W38" i="9"/>
  <c r="BK39" i="27"/>
  <c r="AA6" i="27"/>
  <c r="AA5" i="9" s="1"/>
  <c r="AY11" i="27"/>
  <c r="Q10" i="9"/>
  <c r="AD22" i="26"/>
  <c r="AE23" i="27"/>
  <c r="G22" i="9"/>
  <c r="W13" i="9"/>
  <c r="BK14" i="27"/>
  <c r="AE7" i="27"/>
  <c r="AD6" i="26"/>
  <c r="G6" i="9"/>
  <c r="BD23" i="27"/>
  <c r="AF49" i="27"/>
  <c r="AE48" i="26"/>
  <c r="AZ51" i="27"/>
  <c r="AA49" i="9"/>
  <c r="AA39" i="27"/>
  <c r="AA38" i="9" s="1"/>
  <c r="BK36" i="27"/>
  <c r="W35" i="9"/>
  <c r="U48" i="9"/>
  <c r="BG49" i="27"/>
  <c r="AP13" i="26"/>
  <c r="AQ14" i="27"/>
  <c r="M13" i="9"/>
  <c r="AF36" i="27"/>
  <c r="AE35" i="26"/>
  <c r="R10" i="9"/>
  <c r="AZ11" i="27"/>
  <c r="AJ24" i="27"/>
  <c r="AI23" i="26"/>
  <c r="BH49" i="27"/>
  <c r="AR50" i="27"/>
  <c r="AQ49" i="26"/>
  <c r="BH46" i="27"/>
  <c r="BH35" i="27"/>
  <c r="BL52" i="27"/>
  <c r="AJ27" i="27"/>
  <c r="AI26" i="26"/>
  <c r="Z38" i="26"/>
  <c r="Z21" i="26"/>
  <c r="F21" i="9" s="1"/>
  <c r="Z16" i="26"/>
  <c r="AN2" i="28"/>
  <c r="AP2" i="28"/>
  <c r="AY36" i="27"/>
  <c r="Q35" i="9"/>
  <c r="AM11" i="27"/>
  <c r="AL10" i="26"/>
  <c r="K10" i="9"/>
  <c r="AP48" i="26"/>
  <c r="AQ49" i="27"/>
  <c r="M48" i="9"/>
  <c r="AD13" i="26"/>
  <c r="AE14" i="27"/>
  <c r="G13" i="9"/>
  <c r="AR36" i="27"/>
  <c r="AQ35" i="26"/>
  <c r="BH11" i="27"/>
  <c r="AR24" i="27"/>
  <c r="AQ23" i="26"/>
  <c r="BL49" i="27"/>
  <c r="AN50" i="27"/>
  <c r="AM49" i="26"/>
  <c r="AZ46" i="27"/>
  <c r="AN44" i="27"/>
  <c r="AM43" i="26"/>
  <c r="BD35" i="27"/>
  <c r="AE52" i="27"/>
  <c r="AD51" i="26"/>
  <c r="G51" i="9"/>
  <c r="AQ37" i="27"/>
  <c r="AP36" i="26"/>
  <c r="M36" i="9"/>
  <c r="BH25" i="27"/>
  <c r="AM46" i="27"/>
  <c r="AL45" i="26"/>
  <c r="K45" i="9"/>
  <c r="AI47" i="27"/>
  <c r="AH46" i="26"/>
  <c r="I46" i="9"/>
  <c r="AM35" i="27"/>
  <c r="AL34" i="26"/>
  <c r="K34" i="9"/>
  <c r="AL20" i="26"/>
  <c r="AM21" i="27"/>
  <c r="K20" i="9"/>
  <c r="AD24" i="26"/>
  <c r="AE25" i="27"/>
  <c r="G24" i="9"/>
  <c r="AZ18" i="27"/>
  <c r="AR12" i="27"/>
  <c r="AQ11" i="26"/>
  <c r="AP15" i="26"/>
  <c r="AQ16" i="27"/>
  <c r="M15" i="9"/>
  <c r="AR4" i="27"/>
  <c r="AQ3" i="26"/>
  <c r="BL33" i="27"/>
  <c r="AR26" i="27"/>
  <c r="AQ25" i="26"/>
  <c r="AE12" i="27"/>
  <c r="AD11" i="26"/>
  <c r="G11" i="9"/>
  <c r="AR22" i="27"/>
  <c r="AQ21" i="26"/>
  <c r="AP32" i="26"/>
  <c r="AQ33" i="27"/>
  <c r="M32" i="9"/>
  <c r="S31" i="9"/>
  <c r="BC32" i="27"/>
  <c r="AR41" i="27"/>
  <c r="AQ40" i="26"/>
  <c r="AZ37" i="27"/>
  <c r="AL42" i="26"/>
  <c r="AM43" i="27"/>
  <c r="K42" i="9"/>
  <c r="AR27" i="27"/>
  <c r="AQ26" i="26"/>
  <c r="BL6" i="27"/>
  <c r="BC20" i="27"/>
  <c r="S19" i="9"/>
  <c r="BL42" i="27"/>
  <c r="AJ13" i="27"/>
  <c r="AI12" i="26"/>
  <c r="BG27" i="27"/>
  <c r="U26" i="9"/>
  <c r="AD5" i="26"/>
  <c r="G5" i="9"/>
  <c r="AE6" i="27"/>
  <c r="AR17" i="27"/>
  <c r="AQ16" i="26"/>
  <c r="AR20" i="27"/>
  <c r="AQ19" i="26"/>
  <c r="AJ28" i="27"/>
  <c r="AI27" i="26"/>
  <c r="BH19" i="27"/>
  <c r="AE19" i="27"/>
  <c r="AD18" i="26"/>
  <c r="G18" i="9"/>
  <c r="Q33" i="9"/>
  <c r="AY34" i="27"/>
  <c r="AM40" i="27"/>
  <c r="AL39" i="26"/>
  <c r="K39" i="9"/>
  <c r="AH4" i="26"/>
  <c r="AI5" i="27"/>
  <c r="I4" i="9"/>
  <c r="BL29" i="27"/>
  <c r="AJ31" i="27"/>
  <c r="AI30" i="26"/>
  <c r="AQ38" i="27"/>
  <c r="AP37" i="26"/>
  <c r="M37" i="9"/>
  <c r="BH39" i="27"/>
  <c r="AF38" i="27"/>
  <c r="AE37" i="26"/>
  <c r="S14" i="9"/>
  <c r="BC15" i="27"/>
  <c r="AR45" i="27"/>
  <c r="AQ44" i="26"/>
  <c r="BL5" i="27"/>
  <c r="AN10" i="27"/>
  <c r="AM9" i="26"/>
  <c r="BK31" i="27"/>
  <c r="W30" i="9"/>
  <c r="AY39" i="27"/>
  <c r="Q38" i="9"/>
  <c r="BG14" i="27"/>
  <c r="U13" i="9"/>
  <c r="BH51" i="27"/>
  <c r="AD50" i="26"/>
  <c r="AE51" i="27"/>
  <c r="G50" i="9"/>
  <c r="AJ48" i="27"/>
  <c r="AI47" i="26"/>
  <c r="BD49" i="27"/>
  <c r="Q51" i="9"/>
  <c r="AY52" i="27"/>
  <c r="AI21" i="27"/>
  <c r="AH20" i="26"/>
  <c r="I20" i="9"/>
  <c r="Q11" i="9"/>
  <c r="AY12" i="27"/>
  <c r="AN28" i="27"/>
  <c r="AM27" i="26"/>
  <c r="AM5" i="27"/>
  <c r="AL4" i="26"/>
  <c r="K4" i="9"/>
  <c r="AD37" i="26"/>
  <c r="AE38" i="27"/>
  <c r="G37" i="9"/>
  <c r="BL10" i="27"/>
  <c r="AD45" i="26"/>
  <c r="AE46" i="27"/>
  <c r="G45" i="9"/>
  <c r="AL16" i="26"/>
  <c r="AM17" i="27"/>
  <c r="K16" i="9"/>
  <c r="AF28" i="27"/>
  <c r="AE27" i="26"/>
  <c r="AP18" i="26"/>
  <c r="AQ19" i="27"/>
  <c r="M18" i="9"/>
  <c r="W4" i="9"/>
  <c r="BK5" i="27"/>
  <c r="AM10" i="27"/>
  <c r="AL9" i="26"/>
  <c r="K9" i="9"/>
  <c r="AF15" i="27"/>
  <c r="AE14" i="26"/>
  <c r="F13" i="9"/>
  <c r="BH13" i="28" s="1"/>
  <c r="AA26" i="27"/>
  <c r="AA25" i="9" s="1"/>
  <c r="AA51" i="27"/>
  <c r="AA24" i="27"/>
  <c r="Z31" i="26"/>
  <c r="Z9" i="26"/>
  <c r="AY48" i="27"/>
  <c r="Q47" i="9"/>
  <c r="S35" i="9"/>
  <c r="BC36" i="27"/>
  <c r="AH23" i="26"/>
  <c r="AI24" i="27"/>
  <c r="I23" i="9"/>
  <c r="W48" i="9"/>
  <c r="BK49" i="27"/>
  <c r="BK18" i="27"/>
  <c r="W17" i="9"/>
  <c r="BL48" i="27"/>
  <c r="BD36" i="27"/>
  <c r="AJ23" i="27"/>
  <c r="AI22" i="26"/>
  <c r="BH24" i="27"/>
  <c r="AJ14" i="27"/>
  <c r="AI13" i="26"/>
  <c r="AP3" i="26"/>
  <c r="AQ4" i="27"/>
  <c r="M3" i="9"/>
  <c r="BH50" i="27"/>
  <c r="AJ47" i="27"/>
  <c r="AI46" i="26"/>
  <c r="BL44" i="27"/>
  <c r="AJ21" i="27"/>
  <c r="AI20" i="26"/>
  <c r="AP51" i="26"/>
  <c r="AQ52" i="27"/>
  <c r="M51" i="9"/>
  <c r="S49" i="9"/>
  <c r="BC50" i="27"/>
  <c r="Q45" i="9"/>
  <c r="AY46" i="27"/>
  <c r="BG44" i="27"/>
  <c r="U43" i="9"/>
  <c r="AE35" i="27"/>
  <c r="AD34" i="26"/>
  <c r="G34" i="9"/>
  <c r="AY41" i="27"/>
  <c r="Q40" i="9"/>
  <c r="AY25" i="27"/>
  <c r="Q24" i="9"/>
  <c r="AQ26" i="27"/>
  <c r="AP25" i="26"/>
  <c r="M25" i="9"/>
  <c r="AZ12" i="27"/>
  <c r="AH21" i="26"/>
  <c r="AI22" i="27"/>
  <c r="I21" i="9"/>
  <c r="AZ4" i="27"/>
  <c r="AR32" i="27"/>
  <c r="AQ31" i="26"/>
  <c r="BD26" i="27"/>
  <c r="AR16" i="27"/>
  <c r="AQ15" i="26"/>
  <c r="AF22" i="27"/>
  <c r="AE21" i="26"/>
  <c r="AH32" i="26"/>
  <c r="AI33" i="27"/>
  <c r="I32" i="9"/>
  <c r="BK51" i="27"/>
  <c r="W50" i="9"/>
  <c r="BH41" i="27"/>
  <c r="AR7" i="27"/>
  <c r="AQ6" i="26"/>
  <c r="Q42" i="9"/>
  <c r="AY43" i="27"/>
  <c r="BL27" i="27"/>
  <c r="Q16" i="9"/>
  <c r="AY17" i="27"/>
  <c r="AP19" i="26"/>
  <c r="AQ20" i="27"/>
  <c r="M19" i="9"/>
  <c r="U27" i="9"/>
  <c r="BG28" i="27"/>
  <c r="BL13" i="27"/>
  <c r="AD26" i="26"/>
  <c r="AE27" i="27"/>
  <c r="G26" i="9"/>
  <c r="AR8" i="27"/>
  <c r="AQ7" i="26"/>
  <c r="AZ17" i="27"/>
  <c r="BH28" i="27"/>
  <c r="AN34" i="27"/>
  <c r="AM33" i="26"/>
  <c r="BC9" i="27"/>
  <c r="S8" i="9"/>
  <c r="BG19" i="27"/>
  <c r="U18" i="9"/>
  <c r="Y2" i="28"/>
  <c r="AA2" i="28"/>
  <c r="BC45" i="27"/>
  <c r="S44" i="9"/>
  <c r="AP4" i="26"/>
  <c r="AQ5" i="27"/>
  <c r="M4" i="9"/>
  <c r="W9" i="9"/>
  <c r="BK10" i="27"/>
  <c r="BD31" i="27"/>
  <c r="W12" i="9"/>
  <c r="BK13" i="27"/>
  <c r="AZ38" i="27"/>
  <c r="AF40" i="27"/>
  <c r="AE39" i="26"/>
  <c r="AZ30" i="27"/>
  <c r="AZ10" i="27"/>
  <c r="AJ2" i="9"/>
  <c r="AR15" i="27"/>
  <c r="AQ14" i="26"/>
  <c r="BG23" i="27"/>
  <c r="U22" i="9"/>
  <c r="AQ47" i="26"/>
  <c r="AR48" i="27"/>
  <c r="AR49" i="27"/>
  <c r="AQ48" i="26"/>
  <c r="AJ46" i="27"/>
  <c r="AI45" i="26"/>
  <c r="AP43" i="26"/>
  <c r="AQ44" i="27"/>
  <c r="M43" i="9"/>
  <c r="AN6" i="27"/>
  <c r="AM5" i="26"/>
  <c r="BG6" i="27"/>
  <c r="U5" i="9"/>
  <c r="AF19" i="27"/>
  <c r="AE18" i="26"/>
  <c r="BK40" i="27"/>
  <c r="W39" i="9"/>
  <c r="BG30" i="27"/>
  <c r="U29" i="9"/>
  <c r="AR39" i="27"/>
  <c r="AQ38" i="26"/>
  <c r="AD12" i="26"/>
  <c r="G12" i="9"/>
  <c r="AE13" i="27"/>
  <c r="BL15" i="27"/>
  <c r="E21" i="9"/>
  <c r="E21" i="28" s="1"/>
  <c r="AP23" i="26"/>
  <c r="AQ24" i="27"/>
  <c r="M23" i="9"/>
  <c r="U46" i="9"/>
  <c r="BG47" i="27"/>
  <c r="U20" i="9"/>
  <c r="BG21" i="27"/>
  <c r="BH18" i="27"/>
  <c r="BH33" i="27"/>
  <c r="AZ41" i="27"/>
  <c r="AZ6" i="27"/>
  <c r="AF13" i="27"/>
  <c r="AE12" i="26"/>
  <c r="BD19" i="27"/>
  <c r="BC40" i="27"/>
  <c r="S39" i="9"/>
  <c r="BH31" i="27"/>
  <c r="AZ39" i="27"/>
  <c r="AJ45" i="27"/>
  <c r="AI44" i="26"/>
  <c r="AH35" i="26"/>
  <c r="AI36" i="27"/>
  <c r="I35" i="9"/>
  <c r="Q23" i="9"/>
  <c r="AY24" i="27"/>
  <c r="AZ36" i="27"/>
  <c r="U49" i="9"/>
  <c r="BG50" i="27"/>
  <c r="BL12" i="27"/>
  <c r="BD4" i="27"/>
  <c r="AF6" i="27"/>
  <c r="AE5" i="26"/>
  <c r="BG17" i="27"/>
  <c r="U16" i="9"/>
  <c r="BH13" i="27"/>
  <c r="BL20" i="27"/>
  <c r="AZ19" i="27"/>
  <c r="BK9" i="27"/>
  <c r="W8" i="9"/>
  <c r="AZ29" i="27"/>
  <c r="S9" i="9"/>
  <c r="BC10" i="27"/>
  <c r="AZ31" i="27"/>
  <c r="AE15" i="27"/>
  <c r="AD14" i="26"/>
  <c r="G14" i="9"/>
  <c r="AF45" i="27"/>
  <c r="AE44" i="26"/>
  <c r="BD5" i="27"/>
  <c r="AA10" i="27"/>
  <c r="AQ36" i="27"/>
  <c r="AP35" i="26"/>
  <c r="M35" i="9"/>
  <c r="AZ50" i="27"/>
  <c r="AL51" i="26"/>
  <c r="AM52" i="27"/>
  <c r="K51" i="9"/>
  <c r="BD12" i="27"/>
  <c r="W19" i="9"/>
  <c r="BK20" i="27"/>
  <c r="AZ13" i="27"/>
  <c r="AD8" i="26"/>
  <c r="AE9" i="27"/>
  <c r="G8" i="9"/>
  <c r="BL31" i="27"/>
  <c r="AN45" i="27"/>
  <c r="AM44" i="26"/>
  <c r="BD10" i="27"/>
  <c r="AA18" i="27"/>
  <c r="AA34" i="27"/>
  <c r="AA33" i="9" s="1"/>
  <c r="AA16" i="27"/>
  <c r="AI48" i="27"/>
  <c r="AH47" i="26"/>
  <c r="I47" i="9"/>
  <c r="BG36" i="27"/>
  <c r="U35" i="9"/>
  <c r="AY23" i="27"/>
  <c r="Q22" i="9"/>
  <c r="AM24" i="27"/>
  <c r="AL23" i="26"/>
  <c r="K23" i="9"/>
  <c r="AH6" i="26"/>
  <c r="AI7" i="27"/>
  <c r="I6" i="9"/>
  <c r="AD17" i="26"/>
  <c r="AE18" i="27"/>
  <c r="G17" i="9"/>
  <c r="AZ48" i="27"/>
  <c r="R47" i="9"/>
  <c r="BH36" i="27"/>
  <c r="AN23" i="27"/>
  <c r="AM22" i="26"/>
  <c r="BL24" i="27"/>
  <c r="AF14" i="27"/>
  <c r="AE13" i="26"/>
  <c r="BC4" i="27"/>
  <c r="S3" i="9"/>
  <c r="BD50" i="27"/>
  <c r="AN47" i="27"/>
  <c r="AM46" i="26"/>
  <c r="AI43" i="26"/>
  <c r="AJ44" i="27"/>
  <c r="AF21" i="27"/>
  <c r="AE20" i="26"/>
  <c r="AH51" i="26"/>
  <c r="AI52" i="27"/>
  <c r="I51" i="9"/>
  <c r="AJ51" i="27"/>
  <c r="AI50" i="26"/>
  <c r="AP49" i="26"/>
  <c r="AQ50" i="27"/>
  <c r="M49" i="9"/>
  <c r="BC46" i="27"/>
  <c r="S45" i="9"/>
  <c r="Q43" i="9"/>
  <c r="AY44" i="27"/>
  <c r="U34" i="9"/>
  <c r="BG35" i="27"/>
  <c r="AR52" i="27"/>
  <c r="AQ51" i="26"/>
  <c r="AP40" i="26"/>
  <c r="AQ41" i="27"/>
  <c r="M40" i="9"/>
  <c r="S24" i="9"/>
  <c r="BC25" i="27"/>
  <c r="AN43" i="27"/>
  <c r="AM42" i="26"/>
  <c r="AH25" i="26"/>
  <c r="AI26" i="27"/>
  <c r="I25" i="9"/>
  <c r="AL21" i="26"/>
  <c r="AM22" i="27"/>
  <c r="K21" i="9"/>
  <c r="BH4" i="27"/>
  <c r="AJ32" i="27"/>
  <c r="AI31" i="26"/>
  <c r="AZ26" i="27"/>
  <c r="AN16" i="27"/>
  <c r="AM15" i="26"/>
  <c r="BH22" i="27"/>
  <c r="Q50" i="9"/>
  <c r="AY51" i="27"/>
  <c r="BL41" i="27"/>
  <c r="AF7" i="27"/>
  <c r="AE6" i="26"/>
  <c r="AE43" i="27"/>
  <c r="AD42" i="26"/>
  <c r="G42" i="9"/>
  <c r="AF27" i="27"/>
  <c r="AE26" i="26"/>
  <c r="AQ8" i="27"/>
  <c r="AP7" i="26"/>
  <c r="M7" i="9"/>
  <c r="BK17" i="27"/>
  <c r="W16" i="9"/>
  <c r="AD27" i="26"/>
  <c r="AE28" i="27"/>
  <c r="G27" i="9"/>
  <c r="BD13" i="27"/>
  <c r="AN8" i="27"/>
  <c r="AM7" i="26"/>
  <c r="BL17" i="27"/>
  <c r="S41" i="9"/>
  <c r="BC42" i="27"/>
  <c r="BD28" i="27"/>
  <c r="AP8" i="26"/>
  <c r="AQ9" i="27"/>
  <c r="M8" i="9"/>
  <c r="Q18" i="9"/>
  <c r="AY19" i="27"/>
  <c r="AM45" i="27"/>
  <c r="AL44" i="26"/>
  <c r="K44" i="9"/>
  <c r="AE5" i="27"/>
  <c r="AD4" i="26"/>
  <c r="G4" i="9"/>
  <c r="AY30" i="27"/>
  <c r="Q29" i="9"/>
  <c r="AP9" i="26"/>
  <c r="AQ10" i="27"/>
  <c r="M9" i="9"/>
  <c r="AH12" i="26"/>
  <c r="AI13" i="27"/>
  <c r="I12" i="9"/>
  <c r="BH38" i="27"/>
  <c r="AN9" i="27"/>
  <c r="AM8" i="26"/>
  <c r="AJ40" i="27"/>
  <c r="AI39" i="26"/>
  <c r="BL45" i="27"/>
  <c r="BD30" i="27"/>
  <c r="BH10" i="27"/>
  <c r="AJ15" i="27"/>
  <c r="AI14" i="26"/>
  <c r="AR11" i="27"/>
  <c r="AQ10" i="26"/>
  <c r="BH14" i="27"/>
  <c r="AR35" i="27"/>
  <c r="AQ34" i="26"/>
  <c r="Q49" i="9"/>
  <c r="AY50" i="27"/>
  <c r="U25" i="9"/>
  <c r="BG26" i="27"/>
  <c r="BH32" i="27"/>
  <c r="W31" i="9"/>
  <c r="BK32" i="27"/>
  <c r="W7" i="9"/>
  <c r="BK8" i="27"/>
  <c r="AE42" i="27"/>
  <c r="AD41" i="26"/>
  <c r="G41" i="9"/>
  <c r="AD44" i="26"/>
  <c r="AE45" i="27"/>
  <c r="G44" i="9"/>
  <c r="AL37" i="26"/>
  <c r="AM38" i="27"/>
  <c r="K37" i="9"/>
  <c r="AH38" i="26"/>
  <c r="AI39" i="27"/>
  <c r="I38" i="9"/>
  <c r="U10" i="9"/>
  <c r="BG11" i="27"/>
  <c r="AJ36" i="27"/>
  <c r="AI35" i="26"/>
  <c r="AF50" i="27"/>
  <c r="AE49" i="26"/>
  <c r="AP45" i="26"/>
  <c r="AQ46" i="27"/>
  <c r="M45" i="9"/>
  <c r="AN4" i="27"/>
  <c r="AM3" i="26"/>
  <c r="AF26" i="27"/>
  <c r="AE25" i="26"/>
  <c r="AY33" i="27"/>
  <c r="Q32" i="9"/>
  <c r="BH37" i="27"/>
  <c r="AP16" i="26"/>
  <c r="AQ17" i="27"/>
  <c r="M16" i="9"/>
  <c r="AR28" i="27"/>
  <c r="AQ27" i="26"/>
  <c r="AD33" i="26"/>
  <c r="AE34" i="27"/>
  <c r="G33" i="9"/>
  <c r="BG10" i="27"/>
  <c r="U9" i="9"/>
  <c r="BK15" i="27"/>
  <c r="W14" i="9"/>
  <c r="BH5" i="27"/>
  <c r="AN26" i="27"/>
  <c r="AM25" i="26"/>
  <c r="BD41" i="27"/>
  <c r="BD27" i="27"/>
  <c r="AH19" i="26"/>
  <c r="AI20" i="27"/>
  <c r="I19" i="9"/>
  <c r="AJ8" i="27"/>
  <c r="AI7" i="26"/>
  <c r="S18" i="9"/>
  <c r="BC19" i="27"/>
  <c r="AR30" i="27"/>
  <c r="AQ29" i="26"/>
  <c r="W47" i="9"/>
  <c r="BK48" i="27"/>
  <c r="AH48" i="26"/>
  <c r="AI49" i="27"/>
  <c r="I48" i="9"/>
  <c r="U17" i="9"/>
  <c r="BG18" i="27"/>
  <c r="AF23" i="27"/>
  <c r="AE22" i="26"/>
  <c r="AH3" i="26"/>
  <c r="AI4" i="27"/>
  <c r="I3" i="9"/>
  <c r="BD44" i="27"/>
  <c r="AN51" i="27"/>
  <c r="AM50" i="26"/>
  <c r="AE21" i="27"/>
  <c r="AD20" i="26"/>
  <c r="G20" i="9"/>
  <c r="AH26" i="26"/>
  <c r="AI27" i="27"/>
  <c r="I26" i="9"/>
  <c r="E24" i="9"/>
  <c r="E24" i="28" s="1"/>
  <c r="AA14" i="27"/>
  <c r="AA13" i="9" s="1"/>
  <c r="AA42" i="27"/>
  <c r="AA41" i="9" s="1"/>
  <c r="BC48" i="27"/>
  <c r="S47" i="9"/>
  <c r="AL35" i="26"/>
  <c r="AM36" i="27"/>
  <c r="K35" i="9"/>
  <c r="AL22" i="26"/>
  <c r="AM23" i="27"/>
  <c r="K22" i="9"/>
  <c r="BC24" i="27"/>
  <c r="S23" i="9"/>
  <c r="AP6" i="26"/>
  <c r="AQ7" i="27"/>
  <c r="M6" i="9"/>
  <c r="Q17" i="9"/>
  <c r="AY18" i="27"/>
  <c r="BH48" i="27"/>
  <c r="BD24" i="27"/>
  <c r="AR14" i="27"/>
  <c r="AQ13" i="26"/>
  <c r="W3" i="9"/>
  <c r="BK4" i="27"/>
  <c r="BL50" i="27"/>
  <c r="AF47" i="27"/>
  <c r="AE46" i="26"/>
  <c r="AZ44" i="27"/>
  <c r="AR21" i="27"/>
  <c r="AQ20" i="26"/>
  <c r="BG52" i="27"/>
  <c r="U51" i="9"/>
  <c r="AF51" i="27"/>
  <c r="AE50" i="26"/>
  <c r="AI50" i="27"/>
  <c r="AH49" i="26"/>
  <c r="I49" i="9"/>
  <c r="AD43" i="26"/>
  <c r="AE44" i="27"/>
  <c r="G43" i="9"/>
  <c r="S34" i="9"/>
  <c r="BC35" i="27"/>
  <c r="AN52" i="27"/>
  <c r="AM51" i="26"/>
  <c r="AL40" i="26"/>
  <c r="AM41" i="27"/>
  <c r="K40" i="9"/>
  <c r="AJ43" i="27"/>
  <c r="AI42" i="26"/>
  <c r="Q25" i="9"/>
  <c r="AY26" i="27"/>
  <c r="BG22" i="27"/>
  <c r="U21" i="9"/>
  <c r="AF32" i="27"/>
  <c r="AE31" i="26"/>
  <c r="BH26" i="27"/>
  <c r="R15" i="9"/>
  <c r="BL22" i="27"/>
  <c r="AH50" i="26"/>
  <c r="AI51" i="27"/>
  <c r="I50" i="9"/>
  <c r="AJ7" i="27"/>
  <c r="AI6" i="26"/>
  <c r="U42" i="9"/>
  <c r="BG43" i="27"/>
  <c r="R26" i="9"/>
  <c r="AZ27" i="27"/>
  <c r="AY8" i="27"/>
  <c r="Q7" i="9"/>
  <c r="BC17" i="27"/>
  <c r="S16" i="9"/>
  <c r="W27" i="9"/>
  <c r="BK28" i="27"/>
  <c r="AF8" i="27"/>
  <c r="AE7" i="26"/>
  <c r="BD17" i="27"/>
  <c r="AL41" i="26"/>
  <c r="AM42" i="27"/>
  <c r="K41" i="9"/>
  <c r="BL28" i="27"/>
  <c r="AF34" i="27"/>
  <c r="AE33" i="26"/>
  <c r="BG9" i="27"/>
  <c r="U8" i="9"/>
  <c r="AH18" i="26"/>
  <c r="AI19" i="27"/>
  <c r="I18" i="9"/>
  <c r="BK45" i="27"/>
  <c r="W44" i="9"/>
  <c r="BG5" i="27"/>
  <c r="U4" i="9"/>
  <c r="S29" i="9"/>
  <c r="BC30" i="27"/>
  <c r="AH9" i="26"/>
  <c r="AI10" i="27"/>
  <c r="I9" i="9"/>
  <c r="AP12" i="26"/>
  <c r="AQ13" i="27"/>
  <c r="M12" i="9"/>
  <c r="BL38" i="27"/>
  <c r="AJ9" i="27"/>
  <c r="AI8" i="26"/>
  <c r="AR40" i="27"/>
  <c r="AQ39" i="26"/>
  <c r="BD45" i="27"/>
  <c r="Q28" i="9"/>
  <c r="AY29" i="27"/>
  <c r="AJ30" i="27"/>
  <c r="AI29" i="26"/>
  <c r="AZ15" i="27"/>
  <c r="AP47" i="26"/>
  <c r="AQ48" i="27"/>
  <c r="M47" i="9"/>
  <c r="Q6" i="9"/>
  <c r="AY7" i="27"/>
  <c r="BL23" i="27"/>
  <c r="AZ21" i="27"/>
  <c r="AN25" i="27"/>
  <c r="AM24" i="26"/>
  <c r="AP46" i="26"/>
  <c r="AQ47" i="27"/>
  <c r="M46" i="9"/>
  <c r="AI41" i="27"/>
  <c r="AH40" i="26"/>
  <c r="I40" i="9"/>
  <c r="BD43" i="27"/>
  <c r="AJ33" i="27"/>
  <c r="AI32" i="26"/>
  <c r="AE15" i="26"/>
  <c r="AF16" i="27"/>
  <c r="BL8" i="27"/>
  <c r="BH34" i="27"/>
  <c r="AF29" i="27"/>
  <c r="AE28" i="26"/>
  <c r="U30" i="9"/>
  <c r="BG31" i="27"/>
  <c r="AE36" i="27"/>
  <c r="AD35" i="26"/>
  <c r="G35" i="9"/>
  <c r="AD48" i="26"/>
  <c r="AE49" i="27"/>
  <c r="G48" i="9"/>
  <c r="AH17" i="26"/>
  <c r="AI18" i="27"/>
  <c r="I17" i="9"/>
  <c r="AF48" i="27"/>
  <c r="AE47" i="26"/>
  <c r="BL11" i="27"/>
  <c r="AZ49" i="27"/>
  <c r="AL3" i="26"/>
  <c r="AM4" i="27"/>
  <c r="K3" i="9"/>
  <c r="BD46" i="27"/>
  <c r="AR44" i="27"/>
  <c r="AQ43" i="26"/>
  <c r="AZ35" i="27"/>
  <c r="S51" i="9"/>
  <c r="BC52" i="27"/>
  <c r="BD25" i="27"/>
  <c r="AI35" i="27"/>
  <c r="AH34" i="26"/>
  <c r="I34" i="9"/>
  <c r="AI25" i="27"/>
  <c r="AH24" i="26"/>
  <c r="I24" i="9"/>
  <c r="BC12" i="27"/>
  <c r="S11" i="9"/>
  <c r="AP42" i="26"/>
  <c r="AQ43" i="27"/>
  <c r="M42" i="9"/>
  <c r="AL19" i="26"/>
  <c r="AM20" i="27"/>
  <c r="K19" i="9"/>
  <c r="AQ27" i="27"/>
  <c r="AP26" i="26"/>
  <c r="M26" i="9"/>
  <c r="AN17" i="27"/>
  <c r="AM16" i="26"/>
  <c r="AH8" i="26"/>
  <c r="AI9" i="27"/>
  <c r="I8" i="9"/>
  <c r="Q4" i="9"/>
  <c r="AY5" i="27"/>
  <c r="AR38" i="27"/>
  <c r="AQ37" i="26"/>
  <c r="S48" i="9"/>
  <c r="BC49" i="27"/>
  <c r="AY37" i="27"/>
  <c r="Q36" i="9"/>
  <c r="U45" i="9"/>
  <c r="BG46" i="27"/>
  <c r="BK35" i="27"/>
  <c r="W34" i="9"/>
  <c r="S40" i="9"/>
  <c r="BC41" i="27"/>
  <c r="U24" i="9"/>
  <c r="BG25" i="27"/>
  <c r="AJ22" i="27"/>
  <c r="AI21" i="26"/>
  <c r="AE33" i="27"/>
  <c r="AD32" i="26"/>
  <c r="G32" i="9"/>
  <c r="AH42" i="26"/>
  <c r="AI43" i="27"/>
  <c r="I42" i="9"/>
  <c r="AY27" i="27"/>
  <c r="Q26" i="9"/>
  <c r="AH33" i="26"/>
  <c r="AI34" i="27"/>
  <c r="I33" i="9"/>
  <c r="AN15" i="27"/>
  <c r="AM14" i="26"/>
  <c r="U23" i="9"/>
  <c r="BG24" i="27"/>
  <c r="BL36" i="27"/>
  <c r="AQ25" i="27"/>
  <c r="AP24" i="26"/>
  <c r="M24" i="9"/>
  <c r="AR43" i="27"/>
  <c r="AQ42" i="26"/>
  <c r="BC22" i="27"/>
  <c r="S21" i="9"/>
  <c r="AN32" i="27"/>
  <c r="AM31" i="26"/>
  <c r="AN22" i="27"/>
  <c r="AM21" i="26"/>
  <c r="BC51" i="27"/>
  <c r="S50" i="9"/>
  <c r="AN7" i="27"/>
  <c r="AM6" i="26"/>
  <c r="BC43" i="27"/>
  <c r="S42" i="9"/>
  <c r="AI28" i="27"/>
  <c r="AH27" i="26"/>
  <c r="I27" i="9"/>
  <c r="AJ38" i="27"/>
  <c r="AI37" i="26"/>
  <c r="J37" i="9" s="1"/>
  <c r="AP14" i="26"/>
  <c r="AQ15" i="27"/>
  <c r="M14" i="9"/>
  <c r="AZ5" i="27"/>
  <c r="AA31" i="27"/>
  <c r="AA30" i="9" s="1"/>
  <c r="AA48" i="27"/>
  <c r="BG48" i="27"/>
  <c r="U47" i="9"/>
  <c r="BK23" i="27"/>
  <c r="W22" i="9"/>
  <c r="BK24" i="27"/>
  <c r="W23" i="9"/>
  <c r="AY14" i="27"/>
  <c r="Q13" i="9"/>
  <c r="W6" i="9"/>
  <c r="BK7" i="27"/>
  <c r="AP17" i="26"/>
  <c r="AQ18" i="27"/>
  <c r="M17" i="9"/>
  <c r="BD48" i="27"/>
  <c r="AF11" i="27"/>
  <c r="AE10" i="26"/>
  <c r="AZ23" i="27"/>
  <c r="AZ24" i="27"/>
  <c r="AN14" i="27"/>
  <c r="AM13" i="26"/>
  <c r="AE4" i="27"/>
  <c r="AD3" i="26"/>
  <c r="G3" i="9"/>
  <c r="BL47" i="27"/>
  <c r="AN21" i="27"/>
  <c r="AM20" i="26"/>
  <c r="BK52" i="27"/>
  <c r="W51" i="9"/>
  <c r="AJ25" i="27"/>
  <c r="AI24" i="26"/>
  <c r="BL51" i="27"/>
  <c r="BK50" i="27"/>
  <c r="W49" i="9"/>
  <c r="AL43" i="26"/>
  <c r="AM44" i="27"/>
  <c r="K43" i="9"/>
  <c r="AY35" i="27"/>
  <c r="Q34" i="9"/>
  <c r="AE51" i="26"/>
  <c r="AF52" i="27"/>
  <c r="U40" i="9"/>
  <c r="BG41" i="27"/>
  <c r="AR18" i="27"/>
  <c r="AQ17" i="26"/>
  <c r="AF43" i="27"/>
  <c r="AE42" i="26"/>
  <c r="AD25" i="26"/>
  <c r="AE26" i="27"/>
  <c r="G25" i="9"/>
  <c r="BG16" i="27"/>
  <c r="U15" i="9"/>
  <c r="AD21" i="26"/>
  <c r="AE22" i="27"/>
  <c r="G21" i="9"/>
  <c r="AF33" i="27"/>
  <c r="AE32" i="26"/>
  <c r="AJ16" i="27"/>
  <c r="AI15" i="26"/>
  <c r="AZ22" i="27"/>
  <c r="AP31" i="26"/>
  <c r="AQ32" i="27"/>
  <c r="M31" i="9"/>
  <c r="AP50" i="26"/>
  <c r="AQ51" i="27"/>
  <c r="M50" i="9"/>
  <c r="AR37" i="27"/>
  <c r="AQ36" i="26"/>
  <c r="W42" i="9"/>
  <c r="BK43" i="27"/>
  <c r="BC8" i="27"/>
  <c r="S7" i="9"/>
  <c r="AD16" i="26"/>
  <c r="AE17" i="27"/>
  <c r="G16" i="9"/>
  <c r="AR42" i="27"/>
  <c r="AQ41" i="26"/>
  <c r="AL27" i="26"/>
  <c r="AM28" i="27"/>
  <c r="K27" i="9"/>
  <c r="V2" i="28"/>
  <c r="T2" i="28"/>
  <c r="BC6" i="27"/>
  <c r="S5" i="9"/>
  <c r="BD8" i="27"/>
  <c r="Q41" i="9"/>
  <c r="AY42" i="27"/>
  <c r="AZ28" i="27"/>
  <c r="AR34" i="27"/>
  <c r="AQ33" i="26"/>
  <c r="AL8" i="26"/>
  <c r="AM9" i="27"/>
  <c r="K8" i="9"/>
  <c r="Q44" i="9"/>
  <c r="AY45" i="27"/>
  <c r="S4" i="9"/>
  <c r="BC5" i="27"/>
  <c r="AL29" i="26"/>
  <c r="AM30" i="27"/>
  <c r="K29" i="9"/>
  <c r="AD9" i="26"/>
  <c r="AE10" i="27"/>
  <c r="G9" i="9"/>
  <c r="AN39" i="27"/>
  <c r="AM38" i="26"/>
  <c r="AL12" i="26"/>
  <c r="AM13" i="27"/>
  <c r="K12" i="9"/>
  <c r="BD38" i="27"/>
  <c r="AR9" i="27"/>
  <c r="AQ8" i="26"/>
  <c r="AN40" i="27"/>
  <c r="AM39" i="26"/>
  <c r="BH45" i="27"/>
  <c r="U28" i="9"/>
  <c r="BG29" i="27"/>
  <c r="BH30" i="27"/>
  <c r="AM39" i="27"/>
  <c r="AL38" i="26"/>
  <c r="K38" i="9"/>
  <c r="BH15" i="27"/>
  <c r="W15" i="9"/>
  <c r="BK16" i="27"/>
  <c r="U11" i="9"/>
  <c r="BG12" i="27"/>
  <c r="AK2" i="28"/>
  <c r="S27" i="9"/>
  <c r="BC28" i="27"/>
  <c r="AJ20" i="27"/>
  <c r="AI19" i="26"/>
  <c r="S33" i="9"/>
  <c r="BC34" i="27"/>
  <c r="AZ40" i="27"/>
  <c r="AI37" i="27"/>
  <c r="AH36" i="26"/>
  <c r="I36" i="9"/>
  <c r="BH12" i="27"/>
  <c r="BH20" i="27"/>
  <c r="BK19" i="27"/>
  <c r="W18" i="9"/>
  <c r="BD29" i="27"/>
  <c r="S37" i="9"/>
  <c r="BC38" i="27"/>
  <c r="AP30" i="26"/>
  <c r="AQ31" i="27"/>
  <c r="M30" i="9"/>
  <c r="BK11" i="27"/>
  <c r="W10" i="9"/>
  <c r="BC18" i="27"/>
  <c r="S17" i="9"/>
  <c r="AN24" i="27"/>
  <c r="AM23" i="26"/>
  <c r="BG4" i="27"/>
  <c r="U3" i="9"/>
  <c r="BH44" i="27"/>
  <c r="S25" i="9"/>
  <c r="BC26" i="27"/>
  <c r="AF24" i="27"/>
  <c r="AE23" i="26"/>
  <c r="AR47" i="27"/>
  <c r="AQ46" i="26"/>
  <c r="U36" i="9"/>
  <c r="BG37" i="27"/>
  <c r="AL49" i="26"/>
  <c r="AM50" i="27"/>
  <c r="K49" i="9"/>
  <c r="AQ35" i="27"/>
  <c r="AP34" i="26"/>
  <c r="M34" i="9"/>
  <c r="AD40" i="26"/>
  <c r="AE41" i="27"/>
  <c r="G40" i="9"/>
  <c r="AL25" i="26"/>
  <c r="AM26" i="27"/>
  <c r="K25" i="9"/>
  <c r="BL4" i="27"/>
  <c r="BL26" i="27"/>
  <c r="W32" i="9"/>
  <c r="BK33" i="27"/>
  <c r="AN41" i="27"/>
  <c r="AM40" i="26"/>
  <c r="BH27" i="27"/>
  <c r="BH17" i="27"/>
  <c r="AN30" i="27"/>
  <c r="AM29" i="26"/>
  <c r="Z30" i="26"/>
  <c r="AD47" i="26"/>
  <c r="AE48" i="27"/>
  <c r="G47" i="9"/>
  <c r="S22" i="9"/>
  <c r="BC23" i="27"/>
  <c r="AD23" i="26"/>
  <c r="AE24" i="27"/>
  <c r="G23" i="9"/>
  <c r="AH13" i="26"/>
  <c r="I13" i="9"/>
  <c r="AI14" i="27"/>
  <c r="BC7" i="27"/>
  <c r="S6" i="9"/>
  <c r="AM18" i="27"/>
  <c r="AL17" i="26"/>
  <c r="K17" i="9"/>
  <c r="AN48" i="27"/>
  <c r="AM47" i="26"/>
  <c r="AN11" i="27"/>
  <c r="AM10" i="26"/>
  <c r="AR23" i="27"/>
  <c r="AQ22" i="26"/>
  <c r="AZ14" i="27"/>
  <c r="Q3" i="9"/>
  <c r="AY4" i="27"/>
  <c r="AN46" i="27"/>
  <c r="AM45" i="26"/>
  <c r="BD47" i="27"/>
  <c r="AF35" i="27"/>
  <c r="AE34" i="26"/>
  <c r="BL21" i="27"/>
  <c r="AR25" i="27"/>
  <c r="AQ24" i="26"/>
  <c r="BD51" i="27"/>
  <c r="AE50" i="27"/>
  <c r="AD49" i="26"/>
  <c r="G49" i="9"/>
  <c r="S46" i="9"/>
  <c r="BC47" i="27"/>
  <c r="S43" i="9"/>
  <c r="BC44" i="27"/>
  <c r="AJ52" i="27"/>
  <c r="AI51" i="26"/>
  <c r="BK41" i="27"/>
  <c r="W40" i="9"/>
  <c r="AN18" i="27"/>
  <c r="AM17" i="26"/>
  <c r="AZ43" i="27"/>
  <c r="BK26" i="27"/>
  <c r="W25" i="9"/>
  <c r="BC16" i="27"/>
  <c r="S15" i="9"/>
  <c r="BK22" i="27"/>
  <c r="W21" i="9"/>
  <c r="AN33" i="27"/>
  <c r="AM32" i="26"/>
  <c r="L32" i="9" s="1"/>
  <c r="BL32" i="27"/>
  <c r="BL16" i="27"/>
  <c r="BD22" i="27"/>
  <c r="AI32" i="27"/>
  <c r="AH31" i="26"/>
  <c r="I31" i="9"/>
  <c r="BG51" i="27"/>
  <c r="U50" i="9"/>
  <c r="AF37" i="27"/>
  <c r="AE36" i="26"/>
  <c r="BD7" i="27"/>
  <c r="AR6" i="27"/>
  <c r="AQ5" i="26"/>
  <c r="BG8" i="27"/>
  <c r="U7" i="9"/>
  <c r="AI17" i="27"/>
  <c r="AH16" i="26"/>
  <c r="I16" i="9"/>
  <c r="AF42" i="27"/>
  <c r="AE41" i="26"/>
  <c r="AQ28" i="27"/>
  <c r="AP27" i="26"/>
  <c r="M27" i="9"/>
  <c r="AM6" i="27"/>
  <c r="AL5" i="26"/>
  <c r="K5" i="9"/>
  <c r="BH8" i="27"/>
  <c r="AF20" i="27"/>
  <c r="AE19" i="26"/>
  <c r="W41" i="9"/>
  <c r="BK42" i="27"/>
  <c r="BD34" i="27"/>
  <c r="AY9" i="27"/>
  <c r="Q8" i="9"/>
  <c r="AI40" i="27"/>
  <c r="AH39" i="26"/>
  <c r="I39" i="9"/>
  <c r="AI45" i="27"/>
  <c r="AH44" i="26"/>
  <c r="I44" i="9"/>
  <c r="AP29" i="26"/>
  <c r="AQ30" i="27"/>
  <c r="M29" i="9"/>
  <c r="AY10" i="27"/>
  <c r="Q9" i="9"/>
  <c r="AJ39" i="27"/>
  <c r="AI38" i="26"/>
  <c r="U12" i="9"/>
  <c r="BG13" i="27"/>
  <c r="AZ45" i="27"/>
  <c r="BK29" i="27"/>
  <c r="W28" i="9"/>
  <c r="AE29" i="26"/>
  <c r="AF30" i="27"/>
  <c r="BC31" i="27"/>
  <c r="S30" i="9"/>
  <c r="S38" i="9"/>
  <c r="BC39" i="27"/>
  <c r="BD15" i="27"/>
  <c r="AA34" i="9"/>
  <c r="AA8" i="9"/>
  <c r="F19" i="31"/>
  <c r="B19" i="31" s="1"/>
  <c r="AA31" i="9"/>
  <c r="Y47" i="26"/>
  <c r="Z48" i="27"/>
  <c r="Y4" i="26"/>
  <c r="Z5" i="27"/>
  <c r="AA4" i="9" s="1"/>
  <c r="AA32" i="9"/>
  <c r="AA43" i="9"/>
  <c r="Y9" i="26"/>
  <c r="Z10" i="27"/>
  <c r="Y12" i="26"/>
  <c r="Z13" i="27"/>
  <c r="AA12" i="9" s="1"/>
  <c r="Y50" i="26"/>
  <c r="Z51" i="27"/>
  <c r="Y44" i="26"/>
  <c r="Z45" i="27"/>
  <c r="AA44" i="9" s="1"/>
  <c r="Y19" i="26"/>
  <c r="Z20" i="27"/>
  <c r="AA19" i="9" s="1"/>
  <c r="Y46" i="26"/>
  <c r="Z47" i="27"/>
  <c r="AA46" i="9" s="1"/>
  <c r="Y17" i="26"/>
  <c r="Z18" i="27"/>
  <c r="Y18" i="26"/>
  <c r="Z19" i="27"/>
  <c r="Y11" i="26"/>
  <c r="Z12" i="27"/>
  <c r="AA11" i="9" s="1"/>
  <c r="Y16" i="26"/>
  <c r="Z17" i="27"/>
  <c r="Y36" i="26"/>
  <c r="Z37" i="27"/>
  <c r="Y39" i="26"/>
  <c r="Z40" i="27"/>
  <c r="AA39" i="9" s="1"/>
  <c r="Y48" i="26"/>
  <c r="Z49" i="27"/>
  <c r="AA48" i="9" s="1"/>
  <c r="Y23" i="26"/>
  <c r="Z24" i="27"/>
  <c r="Y35" i="26"/>
  <c r="Z36" i="27"/>
  <c r="Y15" i="26"/>
  <c r="Z16" i="27"/>
  <c r="Y6" i="26"/>
  <c r="Z7" i="27"/>
  <c r="AA6" i="9" s="1"/>
  <c r="Y7" i="26"/>
  <c r="Z8" i="27"/>
  <c r="Y51" i="26"/>
  <c r="Z52" i="27"/>
  <c r="Y28" i="26"/>
  <c r="Z29" i="27"/>
  <c r="AA28" i="9" s="1"/>
  <c r="Y45" i="26"/>
  <c r="Z46" i="27"/>
  <c r="AA14" i="9"/>
  <c r="Y3" i="26"/>
  <c r="Z4" i="27"/>
  <c r="AA3" i="9" s="1"/>
  <c r="Y29" i="26"/>
  <c r="Z30" i="27"/>
  <c r="F40" i="9"/>
  <c r="F42" i="9"/>
  <c r="E6" i="9"/>
  <c r="E6" i="28" s="1"/>
  <c r="E9" i="9"/>
  <c r="G9" i="28" s="1"/>
  <c r="E19" i="9"/>
  <c r="G19" i="28" s="1"/>
  <c r="E11" i="9"/>
  <c r="G11" i="28" s="1"/>
  <c r="E44" i="9"/>
  <c r="G44" i="28" s="1"/>
  <c r="E51" i="9"/>
  <c r="G51" i="28" s="1"/>
  <c r="X15" i="26"/>
  <c r="E15" i="9"/>
  <c r="X34" i="26"/>
  <c r="E34" i="9"/>
  <c r="G34" i="28" s="1"/>
  <c r="X49" i="26"/>
  <c r="E49" i="9"/>
  <c r="E49" i="28" s="1"/>
  <c r="X48" i="26"/>
  <c r="E48" i="9"/>
  <c r="E48" i="28" s="1"/>
  <c r="X38" i="26"/>
  <c r="E38" i="9"/>
  <c r="G38" i="28" s="1"/>
  <c r="X18" i="26"/>
  <c r="E18" i="9"/>
  <c r="E18" i="28" s="1"/>
  <c r="E41" i="9"/>
  <c r="E41" i="28" s="1"/>
  <c r="X8" i="26"/>
  <c r="E8" i="9"/>
  <c r="E8" i="28" s="1"/>
  <c r="X14" i="26"/>
  <c r="E14" i="9"/>
  <c r="E14" i="28" s="1"/>
  <c r="E7" i="9"/>
  <c r="E7" i="28" s="1"/>
  <c r="E4" i="9"/>
  <c r="G4" i="28" s="1"/>
  <c r="E10" i="9"/>
  <c r="E10" i="28" s="1"/>
  <c r="E47" i="9"/>
  <c r="G47" i="28" s="1"/>
  <c r="X39" i="26"/>
  <c r="E39" i="9"/>
  <c r="G39" i="28" s="1"/>
  <c r="E45" i="9"/>
  <c r="E45" i="28" s="1"/>
  <c r="E36" i="9"/>
  <c r="E36" i="28" s="1"/>
  <c r="E25" i="9"/>
  <c r="G25" i="28" s="1"/>
  <c r="E12" i="9"/>
  <c r="G12" i="28" s="1"/>
  <c r="E35" i="9"/>
  <c r="E35" i="28" s="1"/>
  <c r="X50" i="26"/>
  <c r="E50" i="9"/>
  <c r="E50" i="28" s="1"/>
  <c r="E29" i="9"/>
  <c r="E29" i="28" s="1"/>
  <c r="X31" i="26"/>
  <c r="E31" i="9"/>
  <c r="E27" i="9"/>
  <c r="G27" i="28" s="1"/>
  <c r="X17" i="26"/>
  <c r="E17" i="9"/>
  <c r="E17" i="28" s="1"/>
  <c r="E33" i="9"/>
  <c r="G33" i="28" s="1"/>
  <c r="E28" i="9"/>
  <c r="E28" i="28" s="1"/>
  <c r="E32" i="9"/>
  <c r="E32" i="28" s="1"/>
  <c r="X23" i="26"/>
  <c r="E23" i="9"/>
  <c r="E23" i="28" s="1"/>
  <c r="E3" i="9"/>
  <c r="E3" i="28" s="1"/>
  <c r="F2" i="9"/>
  <c r="BH2" i="28" s="1"/>
  <c r="E2" i="9"/>
  <c r="X16" i="26"/>
  <c r="E16" i="9"/>
  <c r="E16" i="28" s="1"/>
  <c r="E46" i="9"/>
  <c r="X5" i="26"/>
  <c r="E5" i="9"/>
  <c r="E43" i="9"/>
  <c r="G43" i="28" s="1"/>
  <c r="X29" i="26"/>
  <c r="X47" i="26"/>
  <c r="X4" i="26"/>
  <c r="X35" i="26"/>
  <c r="Y8" i="26"/>
  <c r="X7" i="26"/>
  <c r="X33" i="26"/>
  <c r="Y14" i="26"/>
  <c r="X41" i="26"/>
  <c r="X19" i="26"/>
  <c r="X45" i="26"/>
  <c r="X25" i="26"/>
  <c r="G26" i="28"/>
  <c r="I26" i="28" s="1"/>
  <c r="Y43" i="26"/>
  <c r="Y27" i="26"/>
  <c r="X43" i="26"/>
  <c r="X28" i="26"/>
  <c r="X27" i="26"/>
  <c r="Y38" i="26"/>
  <c r="X44" i="26"/>
  <c r="X11" i="26"/>
  <c r="X3" i="26"/>
  <c r="X10" i="26"/>
  <c r="X51" i="26"/>
  <c r="X32" i="26"/>
  <c r="X12" i="26"/>
  <c r="X46" i="26"/>
  <c r="Y5" i="26"/>
  <c r="Y10" i="26"/>
  <c r="Y25" i="26"/>
  <c r="X6" i="26"/>
  <c r="H2" i="9" l="1"/>
  <c r="N2" i="9"/>
  <c r="BQ2" i="28" s="1"/>
  <c r="AK47" i="9"/>
  <c r="AK25" i="9"/>
  <c r="AK49" i="9"/>
  <c r="AK42" i="9"/>
  <c r="AK34" i="9"/>
  <c r="AK21" i="9"/>
  <c r="AK19" i="9"/>
  <c r="AB2" i="9"/>
  <c r="L2" i="9"/>
  <c r="BO2" i="28" s="1"/>
  <c r="AA18" i="9"/>
  <c r="AK39" i="9"/>
  <c r="J2" i="9"/>
  <c r="BM2" i="28" s="1"/>
  <c r="AK26" i="9"/>
  <c r="AK46" i="9"/>
  <c r="AK4" i="9"/>
  <c r="AI2" i="9"/>
  <c r="AX2" i="28"/>
  <c r="AH5" i="9"/>
  <c r="AH17" i="9"/>
  <c r="AG7" i="9"/>
  <c r="Q2" i="28"/>
  <c r="AD26" i="9"/>
  <c r="L2" i="28"/>
  <c r="N2" i="28" s="1"/>
  <c r="AC48" i="9"/>
  <c r="AC13" i="9"/>
  <c r="AD44" i="9"/>
  <c r="G37" i="28"/>
  <c r="I37" i="28" s="1"/>
  <c r="R51" i="9"/>
  <c r="BT51" i="28" s="1"/>
  <c r="R50" i="9"/>
  <c r="BU50" i="28" s="1"/>
  <c r="R23" i="9"/>
  <c r="BU23" i="28" s="1"/>
  <c r="R9" i="9"/>
  <c r="BU9" i="28" s="1"/>
  <c r="R29" i="9"/>
  <c r="BT29" i="28" s="1"/>
  <c r="R37" i="9"/>
  <c r="BU37" i="28" s="1"/>
  <c r="T2" i="9"/>
  <c r="BV2" i="28" s="1"/>
  <c r="R38" i="9"/>
  <c r="BT38" i="28" s="1"/>
  <c r="R24" i="9"/>
  <c r="BT24" i="28" s="1"/>
  <c r="AH38" i="9"/>
  <c r="R31" i="9"/>
  <c r="BT31" i="28" s="1"/>
  <c r="R35" i="9"/>
  <c r="BT35" i="28" s="1"/>
  <c r="V20" i="9"/>
  <c r="BY20" i="28" s="1"/>
  <c r="R32" i="9"/>
  <c r="BU32" i="28" s="1"/>
  <c r="AH20" i="9"/>
  <c r="AI46" i="9"/>
  <c r="X18" i="9"/>
  <c r="AJ22" i="9"/>
  <c r="Z8" i="9"/>
  <c r="CC8" i="28" s="1"/>
  <c r="J7" i="9"/>
  <c r="BL7" i="28" s="1"/>
  <c r="AC16" i="9"/>
  <c r="AK8" i="9"/>
  <c r="Z30" i="9"/>
  <c r="CC30" i="28" s="1"/>
  <c r="AK10" i="9"/>
  <c r="R44" i="9"/>
  <c r="BU44" i="28" s="1"/>
  <c r="AK30" i="9"/>
  <c r="AK31" i="9"/>
  <c r="R43" i="9"/>
  <c r="BU43" i="28" s="1"/>
  <c r="AD41" i="9"/>
  <c r="L24" i="9"/>
  <c r="BO24" i="28" s="1"/>
  <c r="AK12" i="9"/>
  <c r="AK50" i="9"/>
  <c r="AK15" i="9"/>
  <c r="AK9" i="9"/>
  <c r="R30" i="9"/>
  <c r="BU30" i="28" s="1"/>
  <c r="R36" i="9"/>
  <c r="BU36" i="28" s="1"/>
  <c r="AK14" i="9"/>
  <c r="R42" i="9"/>
  <c r="BU42" i="28" s="1"/>
  <c r="L13" i="9"/>
  <c r="BO13" i="28" s="1"/>
  <c r="Z17" i="9"/>
  <c r="CC17" i="28" s="1"/>
  <c r="AK43" i="9"/>
  <c r="AK48" i="9"/>
  <c r="R3" i="9"/>
  <c r="BT3" i="28" s="1"/>
  <c r="AC3" i="9"/>
  <c r="AK44" i="9"/>
  <c r="AE16" i="9"/>
  <c r="R12" i="9"/>
  <c r="BU12" i="28" s="1"/>
  <c r="X38" i="9"/>
  <c r="BZ38" i="28" s="1"/>
  <c r="AC2" i="9"/>
  <c r="Z2" i="9"/>
  <c r="CB2" i="28" s="1"/>
  <c r="AG2" i="9"/>
  <c r="AK2" i="9"/>
  <c r="AE2" i="9"/>
  <c r="R2" i="9"/>
  <c r="BU2" i="28" s="1"/>
  <c r="CC50" i="28"/>
  <c r="CB50" i="28"/>
  <c r="CC26" i="28"/>
  <c r="CB26" i="28"/>
  <c r="CB43" i="28"/>
  <c r="CC43" i="28"/>
  <c r="CB41" i="28"/>
  <c r="CC41" i="28"/>
  <c r="CB42" i="28"/>
  <c r="CC42" i="28"/>
  <c r="CC25" i="28"/>
  <c r="CB25" i="28"/>
  <c r="CC39" i="28"/>
  <c r="CB39" i="28"/>
  <c r="CC49" i="28"/>
  <c r="CB49" i="28"/>
  <c r="CC16" i="28"/>
  <c r="CB16" i="28"/>
  <c r="CB9" i="28"/>
  <c r="CC9" i="28"/>
  <c r="CC19" i="28"/>
  <c r="CB19" i="28"/>
  <c r="BE14" i="28"/>
  <c r="BC14" i="28"/>
  <c r="BE32" i="28"/>
  <c r="BC32" i="28"/>
  <c r="BC23" i="28"/>
  <c r="BE23" i="28"/>
  <c r="BC20" i="28"/>
  <c r="BE20" i="28"/>
  <c r="BE9" i="28"/>
  <c r="BC9" i="28"/>
  <c r="CC32" i="28"/>
  <c r="CB32" i="28"/>
  <c r="BC5" i="28"/>
  <c r="BE5" i="28"/>
  <c r="CC3" i="28"/>
  <c r="CB3" i="28"/>
  <c r="BE39" i="28"/>
  <c r="BC39" i="28"/>
  <c r="BG39" i="28" s="1"/>
  <c r="BE43" i="28"/>
  <c r="BC43" i="28"/>
  <c r="AC34" i="9"/>
  <c r="V6" i="9"/>
  <c r="BY6" i="28" s="1"/>
  <c r="Z14" i="9"/>
  <c r="CC20" i="28"/>
  <c r="CB20" i="28"/>
  <c r="CC48" i="28"/>
  <c r="CB48" i="28"/>
  <c r="CB24" i="28"/>
  <c r="CC24" i="28"/>
  <c r="BC31" i="28"/>
  <c r="BE31" i="28"/>
  <c r="BC29" i="28"/>
  <c r="BE29" i="28"/>
  <c r="CC5" i="28"/>
  <c r="CB5" i="28"/>
  <c r="BC46" i="28"/>
  <c r="BE46" i="28"/>
  <c r="BE49" i="28"/>
  <c r="BC49" i="28"/>
  <c r="CB12" i="28"/>
  <c r="CC12" i="28"/>
  <c r="CB23" i="28"/>
  <c r="CC23" i="28"/>
  <c r="CB31" i="28"/>
  <c r="CC31" i="28"/>
  <c r="CC29" i="28"/>
  <c r="CB29" i="28"/>
  <c r="CC46" i="28"/>
  <c r="CB46" i="28"/>
  <c r="CB22" i="28"/>
  <c r="CC22" i="28"/>
  <c r="AK5" i="9"/>
  <c r="AE50" i="9"/>
  <c r="R45" i="9"/>
  <c r="BU45" i="28" s="1"/>
  <c r="BC51" i="28"/>
  <c r="BE51" i="28"/>
  <c r="AK20" i="9"/>
  <c r="BE28" i="28"/>
  <c r="BC28" i="28"/>
  <c r="AK29" i="9"/>
  <c r="BC45" i="28"/>
  <c r="BE45" i="28"/>
  <c r="AE9" i="9"/>
  <c r="Z51" i="9"/>
  <c r="BC50" i="28"/>
  <c r="BE50" i="28"/>
  <c r="Z28" i="9"/>
  <c r="BC19" i="28"/>
  <c r="BE19" i="28"/>
  <c r="BE4" i="28"/>
  <c r="BC4" i="28"/>
  <c r="AK40" i="9"/>
  <c r="BC24" i="28"/>
  <c r="BE24" i="28"/>
  <c r="Z45" i="9"/>
  <c r="BC44" i="28"/>
  <c r="BE44" i="28"/>
  <c r="BG44" i="28" s="1"/>
  <c r="BE26" i="28"/>
  <c r="BC26" i="28"/>
  <c r="BC48" i="28"/>
  <c r="BE48" i="28"/>
  <c r="AK28" i="9"/>
  <c r="BE33" i="28"/>
  <c r="BC33" i="28"/>
  <c r="BC17" i="28"/>
  <c r="BE17" i="28"/>
  <c r="CC35" i="28"/>
  <c r="CB35" i="28"/>
  <c r="AE31" i="9"/>
  <c r="X34" i="9"/>
  <c r="BZ34" i="28" s="1"/>
  <c r="V51" i="9"/>
  <c r="BX51" i="28" s="1"/>
  <c r="CC44" i="28"/>
  <c r="CB44" i="28"/>
  <c r="CB33" i="28"/>
  <c r="CC33" i="28"/>
  <c r="AK24" i="9"/>
  <c r="BC11" i="28"/>
  <c r="BE11" i="28"/>
  <c r="CC47" i="28"/>
  <c r="CB47" i="28"/>
  <c r="BE12" i="28"/>
  <c r="BC12" i="28"/>
  <c r="AK32" i="9"/>
  <c r="BC27" i="28"/>
  <c r="BE27" i="28"/>
  <c r="BE21" i="28"/>
  <c r="BC21" i="28"/>
  <c r="BE15" i="28"/>
  <c r="BC15" i="28"/>
  <c r="CB38" i="28"/>
  <c r="CC38" i="28"/>
  <c r="BE38" i="28"/>
  <c r="BC38" i="28"/>
  <c r="BE40" i="28"/>
  <c r="BC40" i="28"/>
  <c r="BG22" i="28"/>
  <c r="BE35" i="28"/>
  <c r="BC35" i="28"/>
  <c r="AK17" i="9"/>
  <c r="Z11" i="9"/>
  <c r="AI10" i="9"/>
  <c r="CB27" i="28"/>
  <c r="CC27" i="28"/>
  <c r="Z21" i="9"/>
  <c r="BE47" i="28"/>
  <c r="BC47" i="28"/>
  <c r="Z15" i="9"/>
  <c r="CB4" i="28"/>
  <c r="CC4" i="28"/>
  <c r="BE37" i="28"/>
  <c r="BC37" i="28"/>
  <c r="CB6" i="28"/>
  <c r="CC6" i="28"/>
  <c r="CB18" i="28"/>
  <c r="CC18" i="28"/>
  <c r="BC36" i="28"/>
  <c r="BE36" i="28"/>
  <c r="BC18" i="28"/>
  <c r="BE18" i="28"/>
  <c r="AK11" i="9"/>
  <c r="T47" i="9"/>
  <c r="BW47" i="28" s="1"/>
  <c r="AA35" i="9"/>
  <c r="AC17" i="9"/>
  <c r="BE42" i="28"/>
  <c r="BC42" i="28"/>
  <c r="AK27" i="9"/>
  <c r="BC6" i="28"/>
  <c r="BE6" i="28"/>
  <c r="Z37" i="9"/>
  <c r="AK35" i="9"/>
  <c r="Z36" i="9"/>
  <c r="CB40" i="28"/>
  <c r="CC40" i="28"/>
  <c r="AK37" i="9"/>
  <c r="AK36" i="9"/>
  <c r="AK18" i="9"/>
  <c r="BE7" i="28"/>
  <c r="BC7" i="28"/>
  <c r="BC3" i="28"/>
  <c r="BE3" i="28"/>
  <c r="BE8" i="28"/>
  <c r="BC8" i="28"/>
  <c r="BE25" i="28"/>
  <c r="BC25" i="28"/>
  <c r="BG25" i="28" s="1"/>
  <c r="AK33" i="9"/>
  <c r="BE10" i="28"/>
  <c r="BC10" i="28"/>
  <c r="CC7" i="28"/>
  <c r="CB7" i="28"/>
  <c r="BC41" i="28"/>
  <c r="BE41" i="28"/>
  <c r="AH46" i="9"/>
  <c r="R16" i="9"/>
  <c r="BU16" i="28" s="1"/>
  <c r="R46" i="9"/>
  <c r="BT46" i="28" s="1"/>
  <c r="BE16" i="28"/>
  <c r="BC16" i="28"/>
  <c r="BC30" i="28"/>
  <c r="BE30" i="28"/>
  <c r="AK51" i="9"/>
  <c r="BC34" i="28"/>
  <c r="BE34" i="28"/>
  <c r="BE13" i="28"/>
  <c r="BC13" i="28"/>
  <c r="Z10" i="9"/>
  <c r="AK7" i="9"/>
  <c r="AK3" i="9"/>
  <c r="CC13" i="28"/>
  <c r="CB13" i="28"/>
  <c r="Z34" i="9"/>
  <c r="AK41" i="9"/>
  <c r="BE2" i="28"/>
  <c r="BC2" i="28"/>
  <c r="H31" i="9"/>
  <c r="BJ31" i="28" s="1"/>
  <c r="AI51" i="9"/>
  <c r="N20" i="9"/>
  <c r="BQ20" i="28" s="1"/>
  <c r="X39" i="9"/>
  <c r="BZ39" i="28" s="1"/>
  <c r="H39" i="9"/>
  <c r="BJ39" i="28" s="1"/>
  <c r="AI12" i="9"/>
  <c r="AA51" i="9"/>
  <c r="V8" i="9"/>
  <c r="BY8" i="28" s="1"/>
  <c r="V4" i="9"/>
  <c r="BY4" i="28" s="1"/>
  <c r="J14" i="9"/>
  <c r="BL14" i="28" s="1"/>
  <c r="N5" i="9"/>
  <c r="BP5" i="28" s="1"/>
  <c r="J52" i="8"/>
  <c r="AD34" i="9"/>
  <c r="AC25" i="9"/>
  <c r="AC26" i="9"/>
  <c r="AD37" i="9"/>
  <c r="AD11" i="9"/>
  <c r="AI42" i="9"/>
  <c r="X32" i="9"/>
  <c r="BZ32" i="28" s="1"/>
  <c r="R6" i="9"/>
  <c r="BU6" i="28" s="1"/>
  <c r="AJ39" i="9"/>
  <c r="L50" i="9"/>
  <c r="BO50" i="28" s="1"/>
  <c r="N10" i="9"/>
  <c r="BQ10" i="28" s="1"/>
  <c r="V34" i="9"/>
  <c r="BY34" i="28" s="1"/>
  <c r="AG8" i="9"/>
  <c r="AI8" i="9"/>
  <c r="F36" i="9"/>
  <c r="BH36" i="28" s="1"/>
  <c r="V40" i="9"/>
  <c r="BY40" i="28" s="1"/>
  <c r="X6" i="9"/>
  <c r="CA6" i="28" s="1"/>
  <c r="BX2" i="28"/>
  <c r="AI28" i="9"/>
  <c r="AA7" i="9"/>
  <c r="AA29" i="9"/>
  <c r="AG9" i="9"/>
  <c r="H41" i="9"/>
  <c r="BJ41" i="28" s="1"/>
  <c r="L39" i="9"/>
  <c r="BN39" i="28" s="1"/>
  <c r="L48" i="9"/>
  <c r="BN48" i="28" s="1"/>
  <c r="AI20" i="9"/>
  <c r="F37" i="9"/>
  <c r="BI37" i="28" s="1"/>
  <c r="G37" i="39" s="1"/>
  <c r="P14" i="31" a="1"/>
  <c r="P14" i="31" s="1"/>
  <c r="D43" i="31" s="1"/>
  <c r="E13" i="28"/>
  <c r="I13" i="28" s="1"/>
  <c r="L6" i="9"/>
  <c r="BN6" i="28" s="1"/>
  <c r="AG6" i="9"/>
  <c r="N50" i="9"/>
  <c r="BP50" i="28" s="1"/>
  <c r="H50" i="9"/>
  <c r="BK50" i="28" s="1"/>
  <c r="AE7" i="9"/>
  <c r="AI4" i="9"/>
  <c r="AJ28" i="9"/>
  <c r="AJ44" i="9"/>
  <c r="X42" i="9"/>
  <c r="BZ42" i="28" s="1"/>
  <c r="AJ6" i="9"/>
  <c r="AH48" i="9"/>
  <c r="F22" i="9"/>
  <c r="BH22" i="28" s="1"/>
  <c r="AA36" i="9"/>
  <c r="H36" i="9"/>
  <c r="BJ36" i="28" s="1"/>
  <c r="X48" i="9"/>
  <c r="BZ48" i="28" s="1"/>
  <c r="AD4" i="9"/>
  <c r="G20" i="28"/>
  <c r="I20" i="28" s="1"/>
  <c r="E40" i="28"/>
  <c r="I40" i="28" s="1"/>
  <c r="E42" i="28"/>
  <c r="I42" i="28" s="1"/>
  <c r="BP2" i="28"/>
  <c r="G22" i="28"/>
  <c r="T16" i="9"/>
  <c r="BV16" i="28" s="1"/>
  <c r="N19" i="9"/>
  <c r="BQ19" i="28" s="1"/>
  <c r="T15" i="9"/>
  <c r="BV15" i="28" s="1"/>
  <c r="L7" i="9"/>
  <c r="BN7" i="28" s="1"/>
  <c r="T39" i="9"/>
  <c r="BV39" i="28" s="1"/>
  <c r="V48" i="9"/>
  <c r="BX48" i="28" s="1"/>
  <c r="J5" i="9"/>
  <c r="BM5" i="28" s="1"/>
  <c r="AE28" i="9"/>
  <c r="AE30" i="9"/>
  <c r="F9" i="9"/>
  <c r="AH25" i="9"/>
  <c r="AD49" i="9"/>
  <c r="AJ49" i="9"/>
  <c r="AC27" i="9"/>
  <c r="AI24" i="9"/>
  <c r="J45" i="9"/>
  <c r="BM45" i="28" s="1"/>
  <c r="AH8" i="9"/>
  <c r="AH30" i="9"/>
  <c r="V3" i="9"/>
  <c r="BX3" i="28" s="1"/>
  <c r="N36" i="9"/>
  <c r="BP36" i="28" s="1"/>
  <c r="H46" i="9"/>
  <c r="BJ46" i="28" s="1"/>
  <c r="F30" i="9"/>
  <c r="BH30" i="28" s="1"/>
  <c r="N48" i="9"/>
  <c r="BP48" i="28" s="1"/>
  <c r="AJ41" i="9"/>
  <c r="AB51" i="9"/>
  <c r="AB4" i="9"/>
  <c r="AC28" i="9"/>
  <c r="V50" i="9"/>
  <c r="BY50" i="28" s="1"/>
  <c r="X28" i="9"/>
  <c r="X41" i="9"/>
  <c r="BZ41" i="28" s="1"/>
  <c r="AI50" i="9"/>
  <c r="N46" i="9"/>
  <c r="BP46" i="28" s="1"/>
  <c r="R48" i="9"/>
  <c r="BT48" i="28" s="1"/>
  <c r="AC49" i="9"/>
  <c r="N21" i="9"/>
  <c r="BP21" i="28" s="1"/>
  <c r="AI45" i="9"/>
  <c r="AC40" i="9"/>
  <c r="AD43" i="9"/>
  <c r="T38" i="9"/>
  <c r="BW38" i="28" s="1"/>
  <c r="AC39" i="9"/>
  <c r="T46" i="9"/>
  <c r="BV46" i="28" s="1"/>
  <c r="L45" i="9"/>
  <c r="BO45" i="28" s="1"/>
  <c r="J15" i="9"/>
  <c r="BM15" i="28" s="1"/>
  <c r="H42" i="9"/>
  <c r="BJ42" i="28" s="1"/>
  <c r="L31" i="9"/>
  <c r="BO31" i="28" s="1"/>
  <c r="R14" i="9"/>
  <c r="BT14" i="28" s="1"/>
  <c r="V17" i="9"/>
  <c r="BX17" i="28" s="1"/>
  <c r="V45" i="9"/>
  <c r="BX45" i="28" s="1"/>
  <c r="AA47" i="9"/>
  <c r="V12" i="9"/>
  <c r="BX12" i="28" s="1"/>
  <c r="AI11" i="9"/>
  <c r="AE12" i="9"/>
  <c r="N13" i="9"/>
  <c r="BQ13" i="28" s="1"/>
  <c r="F34" i="9"/>
  <c r="BI34" i="28" s="1"/>
  <c r="G34" i="39" s="1"/>
  <c r="G30" i="28"/>
  <c r="I30" i="28" s="1"/>
  <c r="T37" i="9"/>
  <c r="BV37" i="28" s="1"/>
  <c r="AC36" i="9"/>
  <c r="AG36" i="9"/>
  <c r="L16" i="9"/>
  <c r="BN16" i="28" s="1"/>
  <c r="AC18" i="9"/>
  <c r="H7" i="9"/>
  <c r="BJ7" i="28" s="1"/>
  <c r="AG32" i="9"/>
  <c r="T22" i="9"/>
  <c r="BV22" i="28" s="1"/>
  <c r="AB49" i="9"/>
  <c r="V11" i="9"/>
  <c r="BX11" i="28" s="1"/>
  <c r="AH3" i="9"/>
  <c r="V46" i="9"/>
  <c r="BY46" i="28" s="1"/>
  <c r="AH19" i="9"/>
  <c r="AH31" i="9"/>
  <c r="AI36" i="9"/>
  <c r="AB9" i="9"/>
  <c r="AB3" i="9"/>
  <c r="AB48" i="9"/>
  <c r="AB43" i="9"/>
  <c r="AG17" i="9"/>
  <c r="L33" i="9"/>
  <c r="BO33" i="28" s="1"/>
  <c r="AH41" i="9"/>
  <c r="AE29" i="9"/>
  <c r="AD25" i="9"/>
  <c r="AJ47" i="9"/>
  <c r="AG33" i="9"/>
  <c r="AD36" i="9"/>
  <c r="AA45" i="9"/>
  <c r="AG41" i="9"/>
  <c r="N37" i="9"/>
  <c r="BQ37" i="28" s="1"/>
  <c r="AD19" i="9"/>
  <c r="N39" i="9"/>
  <c r="BQ39" i="28" s="1"/>
  <c r="J20" i="9"/>
  <c r="BM20" i="28" s="1"/>
  <c r="X33" i="9"/>
  <c r="BZ33" i="28" s="1"/>
  <c r="T8" i="9"/>
  <c r="BV8" i="28" s="1"/>
  <c r="AC33" i="9"/>
  <c r="R28" i="9"/>
  <c r="BT28" i="28" s="1"/>
  <c r="AE23" i="9"/>
  <c r="V36" i="9"/>
  <c r="BX36" i="28" s="1"/>
  <c r="R27" i="9"/>
  <c r="BT27" i="28" s="1"/>
  <c r="N41" i="9"/>
  <c r="BP41" i="28" s="1"/>
  <c r="T48" i="9"/>
  <c r="BW48" i="28" s="1"/>
  <c r="AE26" i="9"/>
  <c r="J32" i="9"/>
  <c r="BL32" i="28" s="1"/>
  <c r="X8" i="9"/>
  <c r="CA8" i="28" s="1"/>
  <c r="AE4" i="9"/>
  <c r="AE32" i="9"/>
  <c r="AA23" i="9"/>
  <c r="J19" i="9"/>
  <c r="BL19" i="28" s="1"/>
  <c r="L10" i="9"/>
  <c r="BN10" i="28" s="1"/>
  <c r="AI15" i="9"/>
  <c r="AE45" i="9"/>
  <c r="L42" i="9"/>
  <c r="BO42" i="28" s="1"/>
  <c r="AG10" i="9"/>
  <c r="AB30" i="9"/>
  <c r="X24" i="9"/>
  <c r="BZ24" i="28" s="1"/>
  <c r="X36" i="9"/>
  <c r="CA36" i="28" s="1"/>
  <c r="L28" i="9"/>
  <c r="BN28" i="28" s="1"/>
  <c r="T29" i="9"/>
  <c r="BW29" i="28" s="1"/>
  <c r="AE19" i="9"/>
  <c r="V15" i="9"/>
  <c r="BX15" i="28" s="1"/>
  <c r="AJ51" i="9"/>
  <c r="R20" i="9"/>
  <c r="BT20" i="28" s="1"/>
  <c r="AD51" i="9"/>
  <c r="J24" i="9"/>
  <c r="BM24" i="28" s="1"/>
  <c r="AC23" i="9"/>
  <c r="X51" i="9"/>
  <c r="CA51" i="28" s="1"/>
  <c r="J30" i="9"/>
  <c r="BL30" i="28" s="1"/>
  <c r="AE6" i="9"/>
  <c r="R8" i="9"/>
  <c r="BT8" i="28" s="1"/>
  <c r="H28" i="9"/>
  <c r="BK28" i="28" s="1"/>
  <c r="G21" i="28"/>
  <c r="I21" i="28" s="1"/>
  <c r="T25" i="9"/>
  <c r="BV25" i="28" s="1"/>
  <c r="AI23" i="9"/>
  <c r="AJ4" i="9"/>
  <c r="AB24" i="9"/>
  <c r="AB32" i="9"/>
  <c r="N15" i="9"/>
  <c r="BQ15" i="28" s="1"/>
  <c r="T32" i="9"/>
  <c r="BV32" i="28" s="1"/>
  <c r="AJ42" i="9"/>
  <c r="V10" i="9"/>
  <c r="BX10" i="28" s="1"/>
  <c r="H6" i="9"/>
  <c r="BK6" i="28" s="1"/>
  <c r="AE25" i="9"/>
  <c r="AG51" i="9"/>
  <c r="V41" i="9"/>
  <c r="BX41" i="28" s="1"/>
  <c r="V28" i="9"/>
  <c r="BX28" i="28" s="1"/>
  <c r="N17" i="9"/>
  <c r="BP17" i="28" s="1"/>
  <c r="L14" i="9"/>
  <c r="BN14" i="28" s="1"/>
  <c r="T34" i="9"/>
  <c r="BW34" i="28" s="1"/>
  <c r="AD35" i="9"/>
  <c r="AE46" i="9"/>
  <c r="R18" i="9"/>
  <c r="BU18" i="28" s="1"/>
  <c r="AG47" i="9"/>
  <c r="AC20" i="9"/>
  <c r="F43" i="9"/>
  <c r="AH11" i="9"/>
  <c r="V21" i="9"/>
  <c r="BY21" i="28" s="1"/>
  <c r="R22" i="9"/>
  <c r="BU22" i="28" s="1"/>
  <c r="AI17" i="9"/>
  <c r="AG49" i="9"/>
  <c r="X17" i="9"/>
  <c r="BZ17" i="28" s="1"/>
  <c r="T10" i="9"/>
  <c r="BW10" i="28" s="1"/>
  <c r="J38" i="9"/>
  <c r="BM38" i="28" s="1"/>
  <c r="AD8" i="9"/>
  <c r="AE17" i="9"/>
  <c r="AB37" i="9"/>
  <c r="AG28" i="9"/>
  <c r="AI21" i="9"/>
  <c r="N51" i="9"/>
  <c r="BQ51" i="28" s="1"/>
  <c r="AD48" i="9"/>
  <c r="AI3" i="9"/>
  <c r="AD27" i="9"/>
  <c r="AG29" i="9"/>
  <c r="AI27" i="9"/>
  <c r="T49" i="9"/>
  <c r="BW49" i="28" s="1"/>
  <c r="H37" i="9"/>
  <c r="BK37" i="28" s="1"/>
  <c r="L29" i="9"/>
  <c r="BO29" i="28" s="1"/>
  <c r="L23" i="9"/>
  <c r="BN23" i="28" s="1"/>
  <c r="T42" i="9"/>
  <c r="BW42" i="28" s="1"/>
  <c r="AJ7" i="9"/>
  <c r="AG50" i="9"/>
  <c r="AI34" i="9"/>
  <c r="AJ8" i="9"/>
  <c r="N24" i="9"/>
  <c r="BQ24" i="28" s="1"/>
  <c r="R13" i="9"/>
  <c r="BU13" i="28" s="1"/>
  <c r="X15" i="9"/>
  <c r="BZ15" i="28" s="1"/>
  <c r="AH42" i="9"/>
  <c r="R40" i="9"/>
  <c r="BT40" i="28" s="1"/>
  <c r="AE24" i="9"/>
  <c r="L25" i="9"/>
  <c r="BN25" i="28" s="1"/>
  <c r="AI38" i="9"/>
  <c r="AH43" i="9"/>
  <c r="AB14" i="9"/>
  <c r="AB12" i="9"/>
  <c r="F31" i="9"/>
  <c r="BH31" i="28" s="1"/>
  <c r="R39" i="9"/>
  <c r="BT39" i="28" s="1"/>
  <c r="AI7" i="9"/>
  <c r="R34" i="9"/>
  <c r="BT34" i="28" s="1"/>
  <c r="AE42" i="9"/>
  <c r="V30" i="9"/>
  <c r="BX30" i="28" s="1"/>
  <c r="J40" i="9"/>
  <c r="BM40" i="28" s="1"/>
  <c r="AE47" i="9"/>
  <c r="AH18" i="9"/>
  <c r="H49" i="9"/>
  <c r="BJ49" i="28" s="1"/>
  <c r="AC12" i="9"/>
  <c r="R25" i="9"/>
  <c r="BT25" i="28" s="1"/>
  <c r="V5" i="9"/>
  <c r="BX5" i="28" s="1"/>
  <c r="AI48" i="9"/>
  <c r="AC10" i="9"/>
  <c r="AJ10" i="9"/>
  <c r="T35" i="9"/>
  <c r="BV35" i="28" s="1"/>
  <c r="AD9" i="9"/>
  <c r="AJ38" i="9"/>
  <c r="T11" i="9"/>
  <c r="BV11" i="28" s="1"/>
  <c r="T44" i="9"/>
  <c r="BV44" i="28" s="1"/>
  <c r="AA17" i="9"/>
  <c r="H34" i="9"/>
  <c r="BJ34" i="28" s="1"/>
  <c r="AH27" i="9"/>
  <c r="J8" i="9"/>
  <c r="BM8" i="28" s="1"/>
  <c r="AD40" i="9"/>
  <c r="AG22" i="9"/>
  <c r="J22" i="9"/>
  <c r="BM22" i="28" s="1"/>
  <c r="H5" i="9"/>
  <c r="BK5" i="28" s="1"/>
  <c r="N11" i="9"/>
  <c r="BQ11" i="28" s="1"/>
  <c r="V38" i="9"/>
  <c r="BY38" i="28" s="1"/>
  <c r="T12" i="9"/>
  <c r="BW12" i="28" s="1"/>
  <c r="AC5" i="9"/>
  <c r="AC11" i="9"/>
  <c r="T24" i="9"/>
  <c r="BV24" i="28" s="1"/>
  <c r="AH44" i="9"/>
  <c r="AC32" i="9"/>
  <c r="V43" i="9"/>
  <c r="BX43" i="28" s="1"/>
  <c r="AC46" i="9"/>
  <c r="H17" i="9"/>
  <c r="BJ17" i="28" s="1"/>
  <c r="AE10" i="9"/>
  <c r="L21" i="9"/>
  <c r="BN21" i="28" s="1"/>
  <c r="R4" i="9"/>
  <c r="BT4" i="28" s="1"/>
  <c r="N47" i="9"/>
  <c r="BP47" i="28" s="1"/>
  <c r="L51" i="9"/>
  <c r="BN51" i="28" s="1"/>
  <c r="AI25" i="9"/>
  <c r="AG18" i="9"/>
  <c r="AH24" i="9"/>
  <c r="AH45" i="9"/>
  <c r="AI35" i="9"/>
  <c r="R49" i="9"/>
  <c r="BT49" i="28" s="1"/>
  <c r="X12" i="9"/>
  <c r="CA12" i="28" s="1"/>
  <c r="R11" i="9"/>
  <c r="BU11" i="28" s="1"/>
  <c r="AE37" i="9"/>
  <c r="AI26" i="9"/>
  <c r="AJ33" i="9"/>
  <c r="L36" i="9"/>
  <c r="BO36" i="28" s="1"/>
  <c r="AB10" i="9"/>
  <c r="AH7" i="9"/>
  <c r="AD22" i="9"/>
  <c r="AB44" i="9"/>
  <c r="H12" i="9"/>
  <c r="BK12" i="28" s="1"/>
  <c r="AB18" i="9"/>
  <c r="AG30" i="9"/>
  <c r="AE20" i="9"/>
  <c r="H43" i="9"/>
  <c r="BK43" i="28" s="1"/>
  <c r="X22" i="9"/>
  <c r="CA22" i="28" s="1"/>
  <c r="AJ14" i="9"/>
  <c r="V16" i="9"/>
  <c r="BX16" i="28" s="1"/>
  <c r="N49" i="9"/>
  <c r="BQ49" i="28" s="1"/>
  <c r="N12" i="9"/>
  <c r="BP12" i="28" s="1"/>
  <c r="AG31" i="9"/>
  <c r="L38" i="9"/>
  <c r="BO38" i="28" s="1"/>
  <c r="AB26" i="9"/>
  <c r="AG42" i="9"/>
  <c r="L15" i="9"/>
  <c r="BO15" i="28" s="1"/>
  <c r="AC14" i="9"/>
  <c r="L19" i="9"/>
  <c r="BN19" i="28" s="1"/>
  <c r="V18" i="9"/>
  <c r="BX18" i="28" s="1"/>
  <c r="H26" i="9"/>
  <c r="BJ26" i="28" s="1"/>
  <c r="J27" i="9"/>
  <c r="BM27" i="28" s="1"/>
  <c r="N40" i="9"/>
  <c r="BQ40" i="28" s="1"/>
  <c r="V31" i="9"/>
  <c r="BX31" i="28" s="1"/>
  <c r="AC43" i="9"/>
  <c r="AH37" i="9"/>
  <c r="AI29" i="9"/>
  <c r="AJ9" i="9"/>
  <c r="AH49" i="9"/>
  <c r="AB6" i="9"/>
  <c r="N30" i="9"/>
  <c r="BP30" i="28" s="1"/>
  <c r="AI33" i="9"/>
  <c r="AB7" i="9"/>
  <c r="X29" i="9"/>
  <c r="CA29" i="28" s="1"/>
  <c r="AG19" i="9"/>
  <c r="AG12" i="9"/>
  <c r="AJ5" i="9"/>
  <c r="AE27" i="9"/>
  <c r="AH6" i="9"/>
  <c r="AI40" i="9"/>
  <c r="V47" i="9"/>
  <c r="BX47" i="28" s="1"/>
  <c r="AI9" i="9"/>
  <c r="X7" i="9"/>
  <c r="CA7" i="28" s="1"/>
  <c r="J39" i="9"/>
  <c r="BL39" i="28" s="1"/>
  <c r="H13" i="9"/>
  <c r="BK13" i="28" s="1"/>
  <c r="AC6" i="9"/>
  <c r="X19" i="9"/>
  <c r="BZ19" i="28" s="1"/>
  <c r="J44" i="9"/>
  <c r="BM44" i="28" s="1"/>
  <c r="X9" i="9"/>
  <c r="CA9" i="28" s="1"/>
  <c r="AE3" i="9"/>
  <c r="AC4" i="9"/>
  <c r="X45" i="9"/>
  <c r="CA45" i="28" s="1"/>
  <c r="N28" i="9"/>
  <c r="BQ28" i="28" s="1"/>
  <c r="AI32" i="9"/>
  <c r="AG46" i="9"/>
  <c r="AH33" i="9"/>
  <c r="L3" i="9"/>
  <c r="BN3" i="28" s="1"/>
  <c r="X16" i="9"/>
  <c r="BZ16" i="28" s="1"/>
  <c r="AC51" i="9"/>
  <c r="AJ19" i="9"/>
  <c r="N31" i="9"/>
  <c r="BQ31" i="28" s="1"/>
  <c r="N3" i="9"/>
  <c r="BQ3" i="28" s="1"/>
  <c r="AE36" i="9"/>
  <c r="N23" i="9"/>
  <c r="BQ23" i="28" s="1"/>
  <c r="AC45" i="9"/>
  <c r="AJ45" i="9"/>
  <c r="V32" i="9"/>
  <c r="BY32" i="28" s="1"/>
  <c r="X27" i="9"/>
  <c r="BZ27" i="28" s="1"/>
  <c r="X47" i="9"/>
  <c r="CA47" i="28" s="1"/>
  <c r="AB33" i="9"/>
  <c r="V13" i="9"/>
  <c r="BX13" i="28" s="1"/>
  <c r="L8" i="9"/>
  <c r="BO8" i="28" s="1"/>
  <c r="AJ16" i="9"/>
  <c r="X23" i="9"/>
  <c r="BZ23" i="28" s="1"/>
  <c r="H44" i="9"/>
  <c r="BJ44" i="28" s="1"/>
  <c r="N16" i="9"/>
  <c r="BP16" i="28" s="1"/>
  <c r="H16" i="9"/>
  <c r="BK16" i="28" s="1"/>
  <c r="V19" i="9"/>
  <c r="BX19" i="28" s="1"/>
  <c r="J48" i="9"/>
  <c r="BL48" i="28" s="1"/>
  <c r="N4" i="9"/>
  <c r="BP4" i="28" s="1"/>
  <c r="AC38" i="9"/>
  <c r="X31" i="9"/>
  <c r="CA31" i="28" s="1"/>
  <c r="R21" i="9"/>
  <c r="BT21" i="28" s="1"/>
  <c r="AD10" i="9"/>
  <c r="AE41" i="9"/>
  <c r="AJ3" i="9"/>
  <c r="AG43" i="9"/>
  <c r="L22" i="9"/>
  <c r="BN22" i="28" s="1"/>
  <c r="AD23" i="9"/>
  <c r="H35" i="9"/>
  <c r="BK35" i="28" s="1"/>
  <c r="AE38" i="9"/>
  <c r="AB39" i="9"/>
  <c r="N9" i="9"/>
  <c r="BQ9" i="28" s="1"/>
  <c r="R19" i="9"/>
  <c r="BU19" i="28" s="1"/>
  <c r="X50" i="9"/>
  <c r="CA50" i="28" s="1"/>
  <c r="H14" i="9"/>
  <c r="BJ14" i="28" s="1"/>
  <c r="AD16" i="9"/>
  <c r="N26" i="9"/>
  <c r="BP26" i="28" s="1"/>
  <c r="N35" i="9"/>
  <c r="BQ35" i="28" s="1"/>
  <c r="AG35" i="9"/>
  <c r="AC29" i="9"/>
  <c r="AI14" i="9"/>
  <c r="AB29" i="9"/>
  <c r="AI39" i="9"/>
  <c r="J28" i="9"/>
  <c r="BM28" i="28" s="1"/>
  <c r="X2" i="28"/>
  <c r="AM2" i="28"/>
  <c r="BT47" i="28"/>
  <c r="BU47" i="28"/>
  <c r="BT26" i="28"/>
  <c r="BU26" i="28"/>
  <c r="BT41" i="28"/>
  <c r="BU41" i="28"/>
  <c r="BT10" i="28"/>
  <c r="BU10" i="28"/>
  <c r="BT7" i="28"/>
  <c r="BU7" i="28"/>
  <c r="BT15" i="28"/>
  <c r="BU15" i="28"/>
  <c r="BT5" i="28"/>
  <c r="BU5" i="28"/>
  <c r="AS45" i="28"/>
  <c r="AU45" i="28"/>
  <c r="AN11" i="28"/>
  <c r="AP11" i="28"/>
  <c r="Q17" i="28"/>
  <c r="O17" i="28"/>
  <c r="X3" i="9"/>
  <c r="AP23" i="28"/>
  <c r="AN23" i="28"/>
  <c r="AI50" i="28"/>
  <c r="AK50" i="28"/>
  <c r="T23" i="28"/>
  <c r="V23" i="28"/>
  <c r="N6" i="9"/>
  <c r="AI24" i="28"/>
  <c r="AK24" i="28"/>
  <c r="Y3" i="28"/>
  <c r="AA3" i="28"/>
  <c r="AX17" i="28"/>
  <c r="AZ17" i="28"/>
  <c r="AX4" i="28"/>
  <c r="AZ4" i="28"/>
  <c r="O20" i="28"/>
  <c r="Q20" i="28"/>
  <c r="T42" i="28"/>
  <c r="V42" i="28"/>
  <c r="L43" i="9"/>
  <c r="O22" i="28"/>
  <c r="Q22" i="28"/>
  <c r="J30" i="28"/>
  <c r="L30" i="28"/>
  <c r="Y5" i="28"/>
  <c r="AA5" i="28"/>
  <c r="AI19" i="28"/>
  <c r="AK19" i="28"/>
  <c r="AI29" i="28"/>
  <c r="AK29" i="28"/>
  <c r="T21" i="28"/>
  <c r="V21" i="28"/>
  <c r="AD8" i="18"/>
  <c r="AE8" i="18"/>
  <c r="Y29" i="28"/>
  <c r="AA29" i="28"/>
  <c r="T41" i="28"/>
  <c r="V41" i="28"/>
  <c r="O51" i="28"/>
  <c r="Q51" i="28"/>
  <c r="T8" i="28"/>
  <c r="V8" i="28"/>
  <c r="O8" i="28"/>
  <c r="Q8" i="28"/>
  <c r="AD36" i="18"/>
  <c r="AE36" i="18"/>
  <c r="AE30" i="18"/>
  <c r="AD30" i="18"/>
  <c r="AE25" i="18"/>
  <c r="AD25" i="18"/>
  <c r="O16" i="28"/>
  <c r="Q16" i="28"/>
  <c r="X21" i="9"/>
  <c r="Q13" i="28"/>
  <c r="O13" i="28"/>
  <c r="AU36" i="28"/>
  <c r="AS36" i="28"/>
  <c r="AJ15" i="9"/>
  <c r="AX42" i="28"/>
  <c r="AZ42" i="28"/>
  <c r="AZ49" i="28"/>
  <c r="AX49" i="28"/>
  <c r="L3" i="28"/>
  <c r="J3" i="28"/>
  <c r="AS47" i="28"/>
  <c r="AU47" i="28"/>
  <c r="O27" i="28"/>
  <c r="Q27" i="28"/>
  <c r="AU23" i="28"/>
  <c r="AS23" i="28"/>
  <c r="AC8" i="9"/>
  <c r="X44" i="9"/>
  <c r="Q3" i="28"/>
  <c r="O3" i="28"/>
  <c r="O25" i="28"/>
  <c r="Q25" i="28"/>
  <c r="AU34" i="28"/>
  <c r="AS34" i="28"/>
  <c r="AX19" i="28"/>
  <c r="AZ19" i="28"/>
  <c r="X37" i="9"/>
  <c r="BU17" i="28"/>
  <c r="BT17" i="28"/>
  <c r="T26" i="28"/>
  <c r="V26" i="28"/>
  <c r="L11" i="9"/>
  <c r="AD50" i="18"/>
  <c r="AE50" i="18"/>
  <c r="AE44" i="18"/>
  <c r="AD44" i="18"/>
  <c r="AE39" i="18"/>
  <c r="AD39" i="18"/>
  <c r="O44" i="28"/>
  <c r="Q44" i="28"/>
  <c r="H19" i="9"/>
  <c r="Q31" i="28"/>
  <c r="O31" i="28"/>
  <c r="AJ21" i="9"/>
  <c r="J51" i="9"/>
  <c r="T25" i="28"/>
  <c r="V25" i="28"/>
  <c r="AZ15" i="28"/>
  <c r="AX15" i="28"/>
  <c r="AS28" i="28"/>
  <c r="AU28" i="28"/>
  <c r="J9" i="28"/>
  <c r="L9" i="28"/>
  <c r="T27" i="28"/>
  <c r="V27" i="28"/>
  <c r="H32" i="9"/>
  <c r="AI47" i="9"/>
  <c r="T21" i="9"/>
  <c r="V23" i="9"/>
  <c r="J21" i="9"/>
  <c r="AI36" i="28"/>
  <c r="AK36" i="28"/>
  <c r="N43" i="9"/>
  <c r="AA12" i="28"/>
  <c r="Y12" i="28"/>
  <c r="L40" i="9"/>
  <c r="AU51" i="28"/>
  <c r="AS51" i="28"/>
  <c r="AH23" i="9"/>
  <c r="N29" i="9"/>
  <c r="N27" i="9"/>
  <c r="Y45" i="28"/>
  <c r="AA45" i="28"/>
  <c r="AJ31" i="9"/>
  <c r="AN41" i="28"/>
  <c r="AP41" i="28"/>
  <c r="Y7" i="28"/>
  <c r="AA7" i="28"/>
  <c r="H20" i="9"/>
  <c r="Y4" i="28"/>
  <c r="AA4" i="28"/>
  <c r="AG24" i="9"/>
  <c r="AN49" i="28"/>
  <c r="AP49" i="28"/>
  <c r="AJ17" i="9"/>
  <c r="X4" i="9"/>
  <c r="J37" i="28"/>
  <c r="L37" i="28"/>
  <c r="N44" i="9"/>
  <c r="V26" i="9"/>
  <c r="AD42" i="9"/>
  <c r="L11" i="28"/>
  <c r="J11" i="28"/>
  <c r="V45" i="28"/>
  <c r="T45" i="28"/>
  <c r="Y13" i="28"/>
  <c r="AA13" i="28"/>
  <c r="AK10" i="28"/>
  <c r="AI10" i="28"/>
  <c r="J29" i="9"/>
  <c r="L41" i="9"/>
  <c r="AC22" i="9"/>
  <c r="L37" i="9"/>
  <c r="J25" i="9"/>
  <c r="AI15" i="28"/>
  <c r="AK15" i="28"/>
  <c r="L30" i="9"/>
  <c r="L26" i="9"/>
  <c r="X11" i="9"/>
  <c r="T24" i="28"/>
  <c r="V24" i="28"/>
  <c r="AE22" i="9"/>
  <c r="O30" i="28"/>
  <c r="Q30" i="28"/>
  <c r="V14" i="28"/>
  <c r="T14" i="28"/>
  <c r="AU41" i="28"/>
  <c r="AS41" i="28"/>
  <c r="Q7" i="28"/>
  <c r="O7" i="28"/>
  <c r="AK46" i="28"/>
  <c r="AI46" i="28"/>
  <c r="AG48" i="9"/>
  <c r="AK12" i="28"/>
  <c r="AI12" i="28"/>
  <c r="AZ5" i="28"/>
  <c r="AX5" i="28"/>
  <c r="AX43" i="28"/>
  <c r="AZ43" i="28"/>
  <c r="T47" i="28"/>
  <c r="V47" i="28"/>
  <c r="AD42" i="18"/>
  <c r="AE42" i="18"/>
  <c r="AD14" i="18"/>
  <c r="AE14" i="18"/>
  <c r="BN32" i="28"/>
  <c r="BO32" i="28"/>
  <c r="AI3" i="28"/>
  <c r="AK3" i="28"/>
  <c r="AE10" i="18"/>
  <c r="AD10" i="18"/>
  <c r="AG5" i="9"/>
  <c r="AD47" i="18"/>
  <c r="AE47" i="18"/>
  <c r="AX21" i="28"/>
  <c r="AZ21" i="28"/>
  <c r="AX40" i="28"/>
  <c r="AZ40" i="28"/>
  <c r="AN37" i="28"/>
  <c r="AP37" i="28"/>
  <c r="AE52" i="18"/>
  <c r="AD52" i="18"/>
  <c r="AJ40" i="9"/>
  <c r="AE9" i="18"/>
  <c r="AD9" i="18"/>
  <c r="AD29" i="18"/>
  <c r="AE29" i="18"/>
  <c r="AE27" i="18"/>
  <c r="AD27" i="18"/>
  <c r="J12" i="9"/>
  <c r="AR2" i="28"/>
  <c r="AE13" i="9"/>
  <c r="H48" i="9"/>
  <c r="V44" i="9"/>
  <c r="AX33" i="28"/>
  <c r="AZ33" i="28"/>
  <c r="AE5" i="9"/>
  <c r="AZ24" i="28"/>
  <c r="AX24" i="28"/>
  <c r="AZ36" i="28"/>
  <c r="AX36" i="28"/>
  <c r="T30" i="28"/>
  <c r="V30" i="28"/>
  <c r="AG15" i="9"/>
  <c r="J33" i="9"/>
  <c r="AX11" i="28"/>
  <c r="AZ11" i="28"/>
  <c r="AD24" i="9"/>
  <c r="H24" i="9"/>
  <c r="Y22" i="28"/>
  <c r="AA22" i="28"/>
  <c r="AC30" i="9"/>
  <c r="AA44" i="28"/>
  <c r="Y44" i="28"/>
  <c r="AI41" i="9"/>
  <c r="AK48" i="28"/>
  <c r="AI48" i="28"/>
  <c r="X5" i="9"/>
  <c r="X43" i="9"/>
  <c r="AD47" i="9"/>
  <c r="AP15" i="28"/>
  <c r="AN15" i="28"/>
  <c r="J23" i="28"/>
  <c r="L23" i="28"/>
  <c r="AP17" i="28"/>
  <c r="AN17" i="28"/>
  <c r="AZ18" i="28"/>
  <c r="AX18" i="28"/>
  <c r="AN33" i="28"/>
  <c r="AP33" i="28"/>
  <c r="N33" i="9"/>
  <c r="X49" i="9"/>
  <c r="AN21" i="28"/>
  <c r="AP21" i="28"/>
  <c r="O24" i="28"/>
  <c r="Q24" i="28"/>
  <c r="O18" i="28"/>
  <c r="Q18" i="28"/>
  <c r="V37" i="28"/>
  <c r="T37" i="28"/>
  <c r="AX31" i="28"/>
  <c r="AZ31" i="28"/>
  <c r="T44" i="28"/>
  <c r="V44" i="28"/>
  <c r="J14" i="28"/>
  <c r="L14" i="28"/>
  <c r="AI49" i="9"/>
  <c r="H18" i="9"/>
  <c r="V27" i="9"/>
  <c r="AK40" i="28"/>
  <c r="AI40" i="28"/>
  <c r="AA18" i="28"/>
  <c r="Y18" i="28"/>
  <c r="AE23" i="18"/>
  <c r="AD23" i="18"/>
  <c r="AE17" i="18"/>
  <c r="AD17" i="18"/>
  <c r="AD28" i="18"/>
  <c r="AE28" i="18"/>
  <c r="F12" i="9"/>
  <c r="BH12" i="28" s="1"/>
  <c r="AC44" i="9"/>
  <c r="AU7" i="28"/>
  <c r="AS7" i="28"/>
  <c r="AC31" i="9"/>
  <c r="AH15" i="9"/>
  <c r="T43" i="9"/>
  <c r="AB23" i="9"/>
  <c r="T17" i="9"/>
  <c r="AJ18" i="9"/>
  <c r="T33" i="9"/>
  <c r="J21" i="28"/>
  <c r="L21" i="28"/>
  <c r="AS40" i="28"/>
  <c r="AU40" i="28"/>
  <c r="AZ6" i="28"/>
  <c r="AX6" i="28"/>
  <c r="AN42" i="28"/>
  <c r="AP42" i="28"/>
  <c r="AH21" i="9"/>
  <c r="J48" i="28"/>
  <c r="L48" i="28"/>
  <c r="V42" i="9"/>
  <c r="T23" i="9"/>
  <c r="T22" i="28"/>
  <c r="V22" i="28"/>
  <c r="BB2" i="28"/>
  <c r="H22" i="9"/>
  <c r="AA16" i="28"/>
  <c r="Y16" i="28"/>
  <c r="AI43" i="28"/>
  <c r="AK43" i="28"/>
  <c r="AI22" i="28"/>
  <c r="AK22" i="28"/>
  <c r="L44" i="9"/>
  <c r="T51" i="28"/>
  <c r="V51" i="28"/>
  <c r="AS49" i="28"/>
  <c r="AU49" i="28"/>
  <c r="AU27" i="28"/>
  <c r="AS27" i="28"/>
  <c r="AG40" i="9"/>
  <c r="Y51" i="28"/>
  <c r="AA51" i="28"/>
  <c r="J13" i="9"/>
  <c r="AJ48" i="9"/>
  <c r="AE18" i="9"/>
  <c r="AS13" i="28"/>
  <c r="AU13" i="28"/>
  <c r="AH14" i="9"/>
  <c r="AB11" i="9"/>
  <c r="L24" i="28"/>
  <c r="J24" i="28"/>
  <c r="AD45" i="9"/>
  <c r="J13" i="28"/>
  <c r="L13" i="28"/>
  <c r="AI44" i="9"/>
  <c r="T7" i="28"/>
  <c r="V7" i="28"/>
  <c r="J9" i="9"/>
  <c r="AJ26" i="9"/>
  <c r="AJ24" i="9"/>
  <c r="AJ36" i="9"/>
  <c r="AD30" i="9"/>
  <c r="T36" i="28"/>
  <c r="V36" i="28"/>
  <c r="L29" i="28"/>
  <c r="J29" i="28"/>
  <c r="N18" i="9"/>
  <c r="L12" i="9"/>
  <c r="AJ11" i="9"/>
  <c r="AH36" i="9"/>
  <c r="N22" i="9"/>
  <c r="AD14" i="9"/>
  <c r="AE44" i="9"/>
  <c r="AC7" i="9"/>
  <c r="AU37" i="28"/>
  <c r="AS37" i="28"/>
  <c r="AI27" i="28"/>
  <c r="AK27" i="28"/>
  <c r="AJ43" i="9"/>
  <c r="L47" i="9"/>
  <c r="J36" i="28"/>
  <c r="L36" i="28"/>
  <c r="AI37" i="9"/>
  <c r="AG27" i="9"/>
  <c r="J10" i="9"/>
  <c r="AD43" i="18"/>
  <c r="AE43" i="18"/>
  <c r="H47" i="9"/>
  <c r="AK7" i="28"/>
  <c r="AI7" i="28"/>
  <c r="V29" i="9"/>
  <c r="O46" i="28"/>
  <c r="Q46" i="28"/>
  <c r="AX37" i="28"/>
  <c r="AZ37" i="28"/>
  <c r="AE6" i="18"/>
  <c r="AD6" i="18"/>
  <c r="AN38" i="28"/>
  <c r="AP38" i="28"/>
  <c r="O39" i="28"/>
  <c r="Q39" i="28"/>
  <c r="J40" i="28"/>
  <c r="L40" i="28"/>
  <c r="H23" i="9"/>
  <c r="BZ18" i="28"/>
  <c r="CA18" i="28"/>
  <c r="T29" i="28"/>
  <c r="V29" i="28"/>
  <c r="Y50" i="28"/>
  <c r="AA50" i="28"/>
  <c r="AB21" i="9"/>
  <c r="N42" i="9"/>
  <c r="O33" i="28"/>
  <c r="Q33" i="28"/>
  <c r="AS24" i="28"/>
  <c r="AU24" i="28"/>
  <c r="AA26" i="28"/>
  <c r="Y26" i="28"/>
  <c r="AC24" i="9"/>
  <c r="O9" i="28"/>
  <c r="Q9" i="28"/>
  <c r="AS42" i="28"/>
  <c r="AU42" i="28"/>
  <c r="AH34" i="9"/>
  <c r="O26" i="28"/>
  <c r="Q26" i="28"/>
  <c r="AN18" i="28"/>
  <c r="AP18" i="28"/>
  <c r="CA2" i="28"/>
  <c r="BZ2" i="28"/>
  <c r="O12" i="28"/>
  <c r="Q12" i="28"/>
  <c r="AN45" i="28"/>
  <c r="AP45" i="28"/>
  <c r="V49" i="9"/>
  <c r="AP39" i="28"/>
  <c r="AN39" i="28"/>
  <c r="AU5" i="28"/>
  <c r="AS5" i="28"/>
  <c r="AS22" i="28"/>
  <c r="AU22" i="28"/>
  <c r="AJ12" i="9"/>
  <c r="AA19" i="28"/>
  <c r="Y19" i="28"/>
  <c r="AZ50" i="28"/>
  <c r="AX50" i="28"/>
  <c r="AE51" i="9"/>
  <c r="AX48" i="28"/>
  <c r="AZ48" i="28"/>
  <c r="V4" i="28"/>
  <c r="T4" i="28"/>
  <c r="AK51" i="28"/>
  <c r="AI51" i="28"/>
  <c r="AI13" i="9"/>
  <c r="AP14" i="28"/>
  <c r="AN14" i="28"/>
  <c r="O4" i="28"/>
  <c r="Q4" i="28"/>
  <c r="N25" i="9"/>
  <c r="L49" i="9"/>
  <c r="AB13" i="9"/>
  <c r="AS44" i="28"/>
  <c r="AU44" i="28"/>
  <c r="AD7" i="9"/>
  <c r="AX26" i="28"/>
  <c r="AZ26" i="28"/>
  <c r="AD12" i="9"/>
  <c r="AN36" i="28"/>
  <c r="AP36" i="28"/>
  <c r="L35" i="9"/>
  <c r="Y10" i="28"/>
  <c r="AA10" i="28"/>
  <c r="AH12" i="9"/>
  <c r="O11" i="28"/>
  <c r="Q11" i="28"/>
  <c r="J17" i="9"/>
  <c r="AE51" i="18"/>
  <c r="AD51" i="18"/>
  <c r="AE45" i="18"/>
  <c r="AD45" i="18"/>
  <c r="AE20" i="18"/>
  <c r="AD20" i="18"/>
  <c r="AS12" i="28"/>
  <c r="AU12" i="28"/>
  <c r="V5" i="28"/>
  <c r="T5" i="28"/>
  <c r="V7" i="9"/>
  <c r="AZ25" i="28"/>
  <c r="AX25" i="28"/>
  <c r="AP43" i="28"/>
  <c r="AN43" i="28"/>
  <c r="AH22" i="9"/>
  <c r="AB40" i="9"/>
  <c r="AX10" i="28"/>
  <c r="AZ10" i="28"/>
  <c r="AD29" i="9"/>
  <c r="AI13" i="28"/>
  <c r="AK13" i="28"/>
  <c r="V24" i="9"/>
  <c r="AP48" i="28"/>
  <c r="AN48" i="28"/>
  <c r="Q34" i="28"/>
  <c r="O34" i="28"/>
  <c r="V3" i="28"/>
  <c r="T3" i="28"/>
  <c r="AI28" i="28"/>
  <c r="AK28" i="28"/>
  <c r="AC9" i="9"/>
  <c r="AU8" i="28"/>
  <c r="AS8" i="28"/>
  <c r="J6" i="9"/>
  <c r="AS21" i="28"/>
  <c r="AU21" i="28"/>
  <c r="AP34" i="28"/>
  <c r="AN34" i="28"/>
  <c r="T18" i="9"/>
  <c r="J44" i="28"/>
  <c r="L44" i="28"/>
  <c r="T45" i="9"/>
  <c r="L46" i="9"/>
  <c r="AS35" i="28"/>
  <c r="AU35" i="28"/>
  <c r="AI5" i="9"/>
  <c r="V22" i="9"/>
  <c r="AX12" i="28"/>
  <c r="AZ12" i="28"/>
  <c r="AN44" i="28"/>
  <c r="AP44" i="28"/>
  <c r="AJ50" i="9"/>
  <c r="L34" i="28"/>
  <c r="J34" i="28"/>
  <c r="H27" i="9"/>
  <c r="T14" i="9"/>
  <c r="AS48" i="28"/>
  <c r="AU48" i="28"/>
  <c r="AA33" i="28"/>
  <c r="Y33" i="28"/>
  <c r="J41" i="9"/>
  <c r="AA28" i="28"/>
  <c r="Y28" i="28"/>
  <c r="O37" i="28"/>
  <c r="Q37" i="28"/>
  <c r="T18" i="28"/>
  <c r="V18" i="28"/>
  <c r="X26" i="9"/>
  <c r="H3" i="9"/>
  <c r="T20" i="9"/>
  <c r="J36" i="9"/>
  <c r="H29" i="9"/>
  <c r="O41" i="28"/>
  <c r="Q41" i="28"/>
  <c r="T41" i="9"/>
  <c r="H40" i="9"/>
  <c r="T36" i="9"/>
  <c r="AP12" i="28"/>
  <c r="AN12" i="28"/>
  <c r="Q5" i="28"/>
  <c r="O5" i="28"/>
  <c r="V37" i="9"/>
  <c r="T28" i="9"/>
  <c r="T6" i="28"/>
  <c r="V6" i="28"/>
  <c r="AP28" i="28"/>
  <c r="AN28" i="28"/>
  <c r="AN6" i="28"/>
  <c r="AP6" i="28"/>
  <c r="AX22" i="28"/>
  <c r="AZ22" i="28"/>
  <c r="J42" i="9"/>
  <c r="L28" i="28"/>
  <c r="J28" i="28"/>
  <c r="AE16" i="18"/>
  <c r="AD16" i="18"/>
  <c r="AE31" i="18"/>
  <c r="AD31" i="18"/>
  <c r="AN22" i="28"/>
  <c r="AP22" i="28"/>
  <c r="J16" i="28"/>
  <c r="L16" i="28"/>
  <c r="AD3" i="9"/>
  <c r="J35" i="28"/>
  <c r="L35" i="28"/>
  <c r="AC37" i="9"/>
  <c r="J31" i="28"/>
  <c r="L31" i="28"/>
  <c r="BJ2" i="28"/>
  <c r="BK2" i="28"/>
  <c r="J3" i="9"/>
  <c r="AA20" i="28"/>
  <c r="Y20" i="28"/>
  <c r="O28" i="28"/>
  <c r="Q28" i="28"/>
  <c r="V39" i="9"/>
  <c r="AB36" i="9"/>
  <c r="T28" i="28"/>
  <c r="V28" i="28"/>
  <c r="AE24" i="18"/>
  <c r="AD24" i="18"/>
  <c r="AD26" i="18"/>
  <c r="AE26" i="18"/>
  <c r="AE18" i="18"/>
  <c r="AD18" i="18"/>
  <c r="AE48" i="18"/>
  <c r="AD48" i="18"/>
  <c r="G24" i="28"/>
  <c r="I24" i="28" s="1"/>
  <c r="F18" i="9"/>
  <c r="BH18" i="28" s="1"/>
  <c r="AA16" i="9"/>
  <c r="AD5" i="9"/>
  <c r="X25" i="9"/>
  <c r="AN46" i="28"/>
  <c r="AP46" i="28"/>
  <c r="T17" i="28"/>
  <c r="V17" i="28"/>
  <c r="Y34" i="28"/>
  <c r="AA34" i="28"/>
  <c r="AN25" i="28"/>
  <c r="AP25" i="28"/>
  <c r="AN27" i="28"/>
  <c r="AP27" i="28"/>
  <c r="T38" i="28"/>
  <c r="V38" i="28"/>
  <c r="T4" i="9"/>
  <c r="AI41" i="28"/>
  <c r="AK41" i="28"/>
  <c r="AB16" i="9"/>
  <c r="AA31" i="28"/>
  <c r="Y31" i="28"/>
  <c r="AI34" i="28"/>
  <c r="AK34" i="28"/>
  <c r="AX51" i="28"/>
  <c r="AZ51" i="28"/>
  <c r="AK26" i="28"/>
  <c r="AI26" i="28"/>
  <c r="AN40" i="28"/>
  <c r="AP40" i="28"/>
  <c r="V19" i="28"/>
  <c r="T19" i="28"/>
  <c r="AH29" i="9"/>
  <c r="AZ27" i="28"/>
  <c r="AX27" i="28"/>
  <c r="O50" i="28"/>
  <c r="Q50" i="28"/>
  <c r="J43" i="28"/>
  <c r="L43" i="28"/>
  <c r="L20" i="28"/>
  <c r="J20" i="28"/>
  <c r="AS17" i="28"/>
  <c r="AU17" i="28"/>
  <c r="V25" i="9"/>
  <c r="AI18" i="28"/>
  <c r="AK18" i="28"/>
  <c r="J31" i="9"/>
  <c r="AP24" i="28"/>
  <c r="AN24" i="28"/>
  <c r="Y49" i="28"/>
  <c r="AA49" i="28"/>
  <c r="V35" i="9"/>
  <c r="J8" i="28"/>
  <c r="L8" i="28"/>
  <c r="AH9" i="9"/>
  <c r="AS16" i="28"/>
  <c r="AU16" i="28"/>
  <c r="AG23" i="9"/>
  <c r="AS20" i="28"/>
  <c r="AU20" i="28"/>
  <c r="L5" i="9"/>
  <c r="N14" i="9"/>
  <c r="S2" i="28"/>
  <c r="AC2" i="28"/>
  <c r="AG16" i="9"/>
  <c r="O32" i="28"/>
  <c r="Q32" i="28"/>
  <c r="AC21" i="9"/>
  <c r="AB34" i="9"/>
  <c r="V16" i="28"/>
  <c r="T16" i="28"/>
  <c r="L27" i="9"/>
  <c r="J47" i="9"/>
  <c r="AG38" i="9"/>
  <c r="T39" i="28"/>
  <c r="V39" i="28"/>
  <c r="T31" i="9"/>
  <c r="AD20" i="9"/>
  <c r="AE48" i="9"/>
  <c r="AX35" i="28"/>
  <c r="AZ35" i="28"/>
  <c r="L4" i="9"/>
  <c r="AE33" i="9"/>
  <c r="AG21" i="9"/>
  <c r="AD18" i="9"/>
  <c r="AB31" i="9"/>
  <c r="V15" i="28"/>
  <c r="T15" i="28"/>
  <c r="AP20" i="28"/>
  <c r="AN20" i="28"/>
  <c r="AW2" i="28"/>
  <c r="Y11" i="28"/>
  <c r="AA11" i="28"/>
  <c r="T51" i="9"/>
  <c r="AS38" i="28"/>
  <c r="AU38" i="28"/>
  <c r="AG14" i="9"/>
  <c r="AC41" i="9"/>
  <c r="J19" i="28"/>
  <c r="L19" i="28"/>
  <c r="T31" i="28"/>
  <c r="V31" i="28"/>
  <c r="AI6" i="9"/>
  <c r="AG37" i="9"/>
  <c r="AU39" i="28"/>
  <c r="AS39" i="28"/>
  <c r="AD28" i="9"/>
  <c r="AD6" i="9"/>
  <c r="AH28" i="9"/>
  <c r="AD15" i="18"/>
  <c r="AE15" i="18"/>
  <c r="AN51" i="28"/>
  <c r="AP51" i="28"/>
  <c r="O6" i="28"/>
  <c r="Q6" i="28"/>
  <c r="AZ16" i="28"/>
  <c r="AX16" i="28"/>
  <c r="AX8" i="28"/>
  <c r="AZ8" i="28"/>
  <c r="AK45" i="28"/>
  <c r="AI45" i="28"/>
  <c r="L18" i="28"/>
  <c r="J18" i="28"/>
  <c r="T46" i="28"/>
  <c r="V46" i="28"/>
  <c r="AE37" i="18"/>
  <c r="AD37" i="18"/>
  <c r="AN30" i="28"/>
  <c r="AP30" i="28"/>
  <c r="X10" i="9"/>
  <c r="N8" i="9"/>
  <c r="AG13" i="9"/>
  <c r="Y24" i="28"/>
  <c r="AA24" i="28"/>
  <c r="AH40" i="9"/>
  <c r="AJ27" i="9"/>
  <c r="T35" i="28"/>
  <c r="V35" i="28"/>
  <c r="J35" i="9"/>
  <c r="AU25" i="28"/>
  <c r="AS25" i="28"/>
  <c r="AN19" i="28"/>
  <c r="AP19" i="28"/>
  <c r="T20" i="28"/>
  <c r="V20" i="28"/>
  <c r="AA36" i="28"/>
  <c r="Y36" i="28"/>
  <c r="Y48" i="28"/>
  <c r="AA48" i="28"/>
  <c r="L6" i="28"/>
  <c r="J6" i="28"/>
  <c r="AD7" i="18"/>
  <c r="AE7" i="18"/>
  <c r="AJ32" i="9"/>
  <c r="Y30" i="28"/>
  <c r="AA30" i="28"/>
  <c r="AH4" i="9"/>
  <c r="T40" i="9"/>
  <c r="AB35" i="9"/>
  <c r="AN29" i="28"/>
  <c r="AP29" i="28"/>
  <c r="H33" i="9"/>
  <c r="AC50" i="9"/>
  <c r="AG25" i="9"/>
  <c r="L41" i="28"/>
  <c r="J41" i="28"/>
  <c r="AB42" i="9"/>
  <c r="AA40" i="28"/>
  <c r="Y40" i="28"/>
  <c r="J17" i="28"/>
  <c r="L17" i="28"/>
  <c r="O47" i="28"/>
  <c r="Q47" i="28"/>
  <c r="Y35" i="28"/>
  <c r="AA35" i="28"/>
  <c r="AK23" i="28"/>
  <c r="AL23" i="28" s="1"/>
  <c r="AI23" i="28"/>
  <c r="AJ23" i="28" s="1"/>
  <c r="X35" i="9"/>
  <c r="AK21" i="28"/>
  <c r="AI21" i="28"/>
  <c r="J34" i="9"/>
  <c r="AD5" i="18"/>
  <c r="AE5" i="18"/>
  <c r="AD49" i="18"/>
  <c r="AE49" i="18"/>
  <c r="AS3" i="28"/>
  <c r="AU3" i="28"/>
  <c r="AK44" i="28"/>
  <c r="AI44" i="28"/>
  <c r="X40" i="9"/>
  <c r="J32" i="28"/>
  <c r="L32" i="28"/>
  <c r="L33" i="28"/>
  <c r="J33" i="28"/>
  <c r="AD21" i="9"/>
  <c r="L50" i="28"/>
  <c r="J50" i="28"/>
  <c r="AE38" i="18"/>
  <c r="AD38" i="18"/>
  <c r="AD12" i="18"/>
  <c r="AE12" i="18"/>
  <c r="AE4" i="18"/>
  <c r="AD4" i="18"/>
  <c r="AE34" i="18"/>
  <c r="AD34" i="18"/>
  <c r="AJ25" i="9"/>
  <c r="AS15" i="28"/>
  <c r="AU15" i="28"/>
  <c r="AZ14" i="28"/>
  <c r="AX14" i="28"/>
  <c r="J42" i="28"/>
  <c r="L42" i="28"/>
  <c r="AH39" i="9"/>
  <c r="L12" i="28"/>
  <c r="J12" i="28"/>
  <c r="AI22" i="9"/>
  <c r="O21" i="28"/>
  <c r="Q21" i="28"/>
  <c r="Q23" i="28"/>
  <c r="O23" i="28"/>
  <c r="AI38" i="28"/>
  <c r="AK38" i="28"/>
  <c r="AX38" i="28"/>
  <c r="AZ38" i="28"/>
  <c r="AE11" i="18"/>
  <c r="AD11" i="18"/>
  <c r="AD40" i="18"/>
  <c r="AE40" i="18"/>
  <c r="AE32" i="18"/>
  <c r="AD32" i="18"/>
  <c r="AA15" i="9"/>
  <c r="AK8" i="28"/>
  <c r="AI8" i="28"/>
  <c r="T27" i="9"/>
  <c r="AG34" i="9"/>
  <c r="AZ23" i="28"/>
  <c r="AX23" i="28"/>
  <c r="Y14" i="28"/>
  <c r="AA14" i="28"/>
  <c r="AP50" i="28"/>
  <c r="AN50" i="28"/>
  <c r="AG26" i="9"/>
  <c r="BP37" i="28"/>
  <c r="O48" i="28"/>
  <c r="Q48" i="28"/>
  <c r="O19" i="28"/>
  <c r="Q19" i="28"/>
  <c r="X14" i="9"/>
  <c r="AK32" i="28"/>
  <c r="AI32" i="28"/>
  <c r="Y9" i="28"/>
  <c r="AA9" i="28"/>
  <c r="AE49" i="9"/>
  <c r="AB8" i="9"/>
  <c r="AN9" i="28"/>
  <c r="AP9" i="28"/>
  <c r="N38" i="9"/>
  <c r="N7" i="9"/>
  <c r="AK16" i="28"/>
  <c r="AI16" i="28"/>
  <c r="AX30" i="28"/>
  <c r="AZ30" i="28"/>
  <c r="J26" i="9"/>
  <c r="H4" i="9"/>
  <c r="L46" i="28"/>
  <c r="J46" i="28"/>
  <c r="AK14" i="28"/>
  <c r="AI14" i="28"/>
  <c r="Y39" i="28"/>
  <c r="AA39" i="28"/>
  <c r="T19" i="9"/>
  <c r="AD31" i="9"/>
  <c r="AB15" i="9"/>
  <c r="AS6" i="28"/>
  <c r="AU6" i="28"/>
  <c r="AI37" i="28"/>
  <c r="AK37" i="28"/>
  <c r="T33" i="28"/>
  <c r="V33" i="28"/>
  <c r="AP26" i="28"/>
  <c r="AN26" i="28"/>
  <c r="AG39" i="9"/>
  <c r="AD3" i="18"/>
  <c r="AE3" i="18"/>
  <c r="AE13" i="18"/>
  <c r="AD13" i="18"/>
  <c r="AE46" i="18"/>
  <c r="AD46" i="18"/>
  <c r="AD21" i="18"/>
  <c r="AE21" i="18"/>
  <c r="AA50" i="9"/>
  <c r="Y27" i="28"/>
  <c r="AA27" i="28"/>
  <c r="L49" i="28"/>
  <c r="J49" i="28"/>
  <c r="AD17" i="9"/>
  <c r="J47" i="28"/>
  <c r="L47" i="28"/>
  <c r="AZ32" i="28"/>
  <c r="AX32" i="28"/>
  <c r="AE34" i="9"/>
  <c r="AD38" i="9"/>
  <c r="AN4" i="28"/>
  <c r="AP4" i="28"/>
  <c r="AP7" i="28"/>
  <c r="AN7" i="28"/>
  <c r="L25" i="28"/>
  <c r="J25" i="28"/>
  <c r="H10" i="9"/>
  <c r="AJ23" i="9"/>
  <c r="AE14" i="9"/>
  <c r="T50" i="9"/>
  <c r="Q42" i="28"/>
  <c r="O42" i="28"/>
  <c r="AX34" i="28"/>
  <c r="AZ34" i="28"/>
  <c r="AI30" i="9"/>
  <c r="AK6" i="28"/>
  <c r="AI6" i="28"/>
  <c r="AN16" i="28"/>
  <c r="AP16" i="28"/>
  <c r="AK25" i="28"/>
  <c r="AI25" i="28"/>
  <c r="AI17" i="28"/>
  <c r="AK17" i="28"/>
  <c r="AN47" i="28"/>
  <c r="AP47" i="28"/>
  <c r="AB20" i="9"/>
  <c r="AC19" i="9"/>
  <c r="V9" i="9"/>
  <c r="AI49" i="28"/>
  <c r="AK49" i="28"/>
  <c r="Y8" i="28"/>
  <c r="AA8" i="28"/>
  <c r="J27" i="28"/>
  <c r="L27" i="28"/>
  <c r="AE40" i="9"/>
  <c r="AN3" i="28"/>
  <c r="AP3" i="28"/>
  <c r="AB17" i="9"/>
  <c r="H8" i="9"/>
  <c r="T9" i="9"/>
  <c r="AI16" i="9"/>
  <c r="Q35" i="28"/>
  <c r="O35" i="28"/>
  <c r="AA43" i="28"/>
  <c r="Y43" i="28"/>
  <c r="AU18" i="28"/>
  <c r="AS18" i="28"/>
  <c r="AU43" i="28"/>
  <c r="AS43" i="28"/>
  <c r="AJ30" i="9"/>
  <c r="AD39" i="9"/>
  <c r="AP31" i="28"/>
  <c r="AN31" i="28"/>
  <c r="T34" i="28"/>
  <c r="V34" i="28"/>
  <c r="L51" i="28"/>
  <c r="J51" i="28"/>
  <c r="J23" i="9"/>
  <c r="AJ35" i="9"/>
  <c r="AJ13" i="9"/>
  <c r="T32" i="28"/>
  <c r="V32" i="28"/>
  <c r="AD15" i="9"/>
  <c r="AB46" i="9"/>
  <c r="AH10" i="9"/>
  <c r="AE11" i="9"/>
  <c r="AX20" i="28"/>
  <c r="AZ20" i="28"/>
  <c r="AK30" i="28"/>
  <c r="AI30" i="28"/>
  <c r="AB19" i="9"/>
  <c r="J15" i="28"/>
  <c r="L15" i="28"/>
  <c r="AX46" i="28"/>
  <c r="AZ46" i="28"/>
  <c r="V13" i="28"/>
  <c r="T13" i="28"/>
  <c r="J4" i="9"/>
  <c r="H30" i="9"/>
  <c r="T26" i="9"/>
  <c r="N32" i="9"/>
  <c r="AG20" i="9"/>
  <c r="L34" i="9"/>
  <c r="AK39" i="28"/>
  <c r="AI39" i="28"/>
  <c r="T50" i="28"/>
  <c r="V50" i="28"/>
  <c r="AP13" i="28"/>
  <c r="AN13" i="28"/>
  <c r="AK9" i="28"/>
  <c r="AI9" i="28"/>
  <c r="L17" i="9"/>
  <c r="AG3" i="9"/>
  <c r="T6" i="9"/>
  <c r="AB47" i="9"/>
  <c r="V49" i="28"/>
  <c r="T49" i="28"/>
  <c r="O36" i="28"/>
  <c r="Q36" i="28"/>
  <c r="T12" i="28"/>
  <c r="V12" i="28"/>
  <c r="AG44" i="9"/>
  <c r="T5" i="9"/>
  <c r="T7" i="9"/>
  <c r="AB25" i="9"/>
  <c r="T43" i="28"/>
  <c r="V43" i="28"/>
  <c r="L20" i="9"/>
  <c r="AH50" i="9"/>
  <c r="AC42" i="9"/>
  <c r="AJ34" i="9"/>
  <c r="AG4" i="9"/>
  <c r="Y42" i="28"/>
  <c r="AA42" i="28"/>
  <c r="AH51" i="9"/>
  <c r="AU30" i="28"/>
  <c r="AS30" i="28"/>
  <c r="Q40" i="28"/>
  <c r="O40" i="28"/>
  <c r="AA47" i="28"/>
  <c r="Y47" i="28"/>
  <c r="AS4" i="28"/>
  <c r="AU4" i="28"/>
  <c r="AH16" i="9"/>
  <c r="O49" i="28"/>
  <c r="Q49" i="28"/>
  <c r="AA6" i="28"/>
  <c r="Y6" i="28"/>
  <c r="AH47" i="9"/>
  <c r="AS9" i="28"/>
  <c r="AU9" i="28"/>
  <c r="H25" i="9"/>
  <c r="AS10" i="28"/>
  <c r="AU10" i="28"/>
  <c r="AB41" i="9"/>
  <c r="N34" i="9"/>
  <c r="AE8" i="9"/>
  <c r="AB27" i="9"/>
  <c r="J50" i="9"/>
  <c r="T3" i="9"/>
  <c r="AC47" i="9"/>
  <c r="AE35" i="9"/>
  <c r="AC35" i="9"/>
  <c r="AU46" i="28"/>
  <c r="AS46" i="28"/>
  <c r="AU29" i="28"/>
  <c r="AS29" i="28"/>
  <c r="AE43" i="9"/>
  <c r="T30" i="9"/>
  <c r="AI18" i="9"/>
  <c r="J26" i="28"/>
  <c r="L26" i="28"/>
  <c r="H21" i="9"/>
  <c r="AI43" i="9"/>
  <c r="J46" i="9"/>
  <c r="AH35" i="9"/>
  <c r="T9" i="28"/>
  <c r="V9" i="28"/>
  <c r="J45" i="28"/>
  <c r="L45" i="28"/>
  <c r="AG11" i="9"/>
  <c r="X30" i="9"/>
  <c r="Y37" i="28"/>
  <c r="AA37" i="28"/>
  <c r="AB5" i="9"/>
  <c r="Y32" i="28"/>
  <c r="AA32" i="28"/>
  <c r="AA15" i="28"/>
  <c r="Y15" i="28"/>
  <c r="H51" i="9"/>
  <c r="T10" i="28"/>
  <c r="V10" i="28"/>
  <c r="AX13" i="28"/>
  <c r="AZ13" i="28"/>
  <c r="Y41" i="28"/>
  <c r="AA41" i="28"/>
  <c r="N45" i="9"/>
  <c r="AI19" i="9"/>
  <c r="J11" i="9"/>
  <c r="AN10" i="28"/>
  <c r="AP10" i="28"/>
  <c r="AJ20" i="9"/>
  <c r="H9" i="9"/>
  <c r="AE39" i="9"/>
  <c r="J16" i="9"/>
  <c r="L7" i="28"/>
  <c r="J7" i="28"/>
  <c r="AH32" i="9"/>
  <c r="H15" i="9"/>
  <c r="X46" i="9"/>
  <c r="AD13" i="9"/>
  <c r="AD33" i="9"/>
  <c r="AH26" i="9"/>
  <c r="AS31" i="28"/>
  <c r="AU31" i="28"/>
  <c r="AI20" i="28"/>
  <c r="AK20" i="28"/>
  <c r="J18" i="9"/>
  <c r="T13" i="9"/>
  <c r="Y25" i="28"/>
  <c r="AA25" i="28"/>
  <c r="AG45" i="9"/>
  <c r="AN35" i="28"/>
  <c r="AP35" i="28"/>
  <c r="AB45" i="9"/>
  <c r="AI11" i="28"/>
  <c r="AK11" i="28"/>
  <c r="L9" i="9"/>
  <c r="AI33" i="28"/>
  <c r="AK33" i="28"/>
  <c r="L5" i="28"/>
  <c r="J5" i="28"/>
  <c r="AE15" i="9"/>
  <c r="X13" i="9"/>
  <c r="H38" i="9"/>
  <c r="Y38" i="28"/>
  <c r="AA38" i="28"/>
  <c r="AU19" i="28"/>
  <c r="AS19" i="28"/>
  <c r="AD32" i="9"/>
  <c r="Q45" i="28"/>
  <c r="O45" i="28"/>
  <c r="X20" i="9"/>
  <c r="AU33" i="28"/>
  <c r="AS33" i="28"/>
  <c r="AN32" i="28"/>
  <c r="AP32" i="28"/>
  <c r="H11" i="9"/>
  <c r="AJ46" i="9"/>
  <c r="AJ29" i="9"/>
  <c r="AI31" i="9"/>
  <c r="Q15" i="28"/>
  <c r="O15" i="28"/>
  <c r="Q43" i="28"/>
  <c r="O43" i="28"/>
  <c r="H45" i="9"/>
  <c r="O14" i="28"/>
  <c r="Q14" i="28"/>
  <c r="AD50" i="9"/>
  <c r="AH13" i="9"/>
  <c r="L10" i="28"/>
  <c r="J10" i="28"/>
  <c r="AD19" i="18"/>
  <c r="AE19" i="18"/>
  <c r="AX28" i="28"/>
  <c r="AZ28" i="28"/>
  <c r="AN5" i="28"/>
  <c r="AP5" i="28"/>
  <c r="AK4" i="28"/>
  <c r="AI4" i="28"/>
  <c r="AE33" i="18"/>
  <c r="AD33" i="18"/>
  <c r="BT33" i="28"/>
  <c r="BU33" i="28"/>
  <c r="J22" i="28"/>
  <c r="L22" i="28"/>
  <c r="AS14" i="28"/>
  <c r="AU14" i="28"/>
  <c r="T11" i="28"/>
  <c r="V11" i="28"/>
  <c r="AA21" i="28"/>
  <c r="Y21" i="28"/>
  <c r="AZ45" i="28"/>
  <c r="AX45" i="28"/>
  <c r="J49" i="9"/>
  <c r="V48" i="28"/>
  <c r="T48" i="28"/>
  <c r="L38" i="28"/>
  <c r="J38" i="28"/>
  <c r="AZ29" i="28"/>
  <c r="AX29" i="28"/>
  <c r="O10" i="28"/>
  <c r="Q10" i="28"/>
  <c r="AE41" i="18"/>
  <c r="AD41" i="18"/>
  <c r="AD35" i="18"/>
  <c r="AE35" i="18"/>
  <c r="BL37" i="28"/>
  <c r="BM37" i="28"/>
  <c r="BZ28" i="28"/>
  <c r="CA28" i="28"/>
  <c r="AU50" i="28"/>
  <c r="AS50" i="28"/>
  <c r="AU11" i="28"/>
  <c r="AS11" i="28"/>
  <c r="AN8" i="28"/>
  <c r="AP8" i="28"/>
  <c r="AD22" i="18"/>
  <c r="AE22" i="18"/>
  <c r="AA9" i="9"/>
  <c r="AX41" i="28"/>
  <c r="AZ41" i="28"/>
  <c r="Y17" i="28"/>
  <c r="AA17" i="28"/>
  <c r="AA46" i="28"/>
  <c r="Y46" i="28"/>
  <c r="AX44" i="28"/>
  <c r="AZ44" i="28"/>
  <c r="T40" i="28"/>
  <c r="V40" i="28"/>
  <c r="AX3" i="28"/>
  <c r="AZ3" i="28"/>
  <c r="AX47" i="28"/>
  <c r="AZ47" i="28"/>
  <c r="Q38" i="28"/>
  <c r="O38" i="28"/>
  <c r="AZ7" i="28"/>
  <c r="AX7" i="28"/>
  <c r="L4" i="28"/>
  <c r="J4" i="28"/>
  <c r="Y23" i="28"/>
  <c r="AA23" i="28"/>
  <c r="AX39" i="28"/>
  <c r="AZ39" i="28"/>
  <c r="AX9" i="28"/>
  <c r="AZ9" i="28"/>
  <c r="AI42" i="28"/>
  <c r="AK42" i="28"/>
  <c r="AI47" i="28"/>
  <c r="AK47" i="28"/>
  <c r="AB50" i="9"/>
  <c r="AS26" i="28"/>
  <c r="AU26" i="28"/>
  <c r="AI35" i="28"/>
  <c r="AK35" i="28"/>
  <c r="AB22" i="9"/>
  <c r="Q29" i="28"/>
  <c r="O29" i="28"/>
  <c r="V14" i="9"/>
  <c r="J39" i="28"/>
  <c r="L39" i="28"/>
  <c r="AE21" i="9"/>
  <c r="AD46" i="9"/>
  <c r="AB28" i="9"/>
  <c r="AJ37" i="9"/>
  <c r="V33" i="9"/>
  <c r="AK5" i="28"/>
  <c r="AI5" i="28"/>
  <c r="BZ45" i="28"/>
  <c r="AB38" i="9"/>
  <c r="L18" i="9"/>
  <c r="AS32" i="28"/>
  <c r="AU32" i="28"/>
  <c r="AC15" i="9"/>
  <c r="J43" i="9"/>
  <c r="AI31" i="28"/>
  <c r="AK31" i="28"/>
  <c r="F19" i="9"/>
  <c r="BI19" i="28" s="1"/>
  <c r="G19" i="39" s="1"/>
  <c r="F51" i="9"/>
  <c r="BH51" i="28" s="1"/>
  <c r="F7" i="9"/>
  <c r="BI7" i="28" s="1"/>
  <c r="G7" i="39" s="1"/>
  <c r="F16" i="9"/>
  <c r="BH16" i="28" s="1"/>
  <c r="F46" i="9"/>
  <c r="BH46" i="28" s="1"/>
  <c r="F28" i="9"/>
  <c r="BH28" i="28" s="1"/>
  <c r="E2" i="28"/>
  <c r="G2" i="28"/>
  <c r="F29" i="9"/>
  <c r="BH29" i="28" s="1"/>
  <c r="BI2" i="28"/>
  <c r="G2" i="39" s="1"/>
  <c r="F44" i="9"/>
  <c r="BH44" i="28" s="1"/>
  <c r="F6" i="9"/>
  <c r="BH6" i="28" s="1"/>
  <c r="F15" i="9"/>
  <c r="BH15" i="28" s="1"/>
  <c r="F47" i="9"/>
  <c r="BH47" i="28" s="1"/>
  <c r="F4" i="9"/>
  <c r="BI4" i="28" s="1"/>
  <c r="G4" i="39" s="1"/>
  <c r="F3" i="9"/>
  <c r="BH3" i="28" s="1"/>
  <c r="F45" i="9"/>
  <c r="BH45" i="28" s="1"/>
  <c r="F5" i="9"/>
  <c r="BI5" i="28" s="1"/>
  <c r="G5" i="39" s="1"/>
  <c r="F48" i="9"/>
  <c r="BH48" i="28" s="1"/>
  <c r="F8" i="9"/>
  <c r="BI8" i="28" s="1"/>
  <c r="G8" i="39" s="1"/>
  <c r="F41" i="9"/>
  <c r="BH41" i="28" s="1"/>
  <c r="F39" i="9"/>
  <c r="BI39" i="28" s="1"/>
  <c r="G39" i="39" s="1"/>
  <c r="F10" i="9"/>
  <c r="BI10" i="28" s="1"/>
  <c r="G10" i="39" s="1"/>
  <c r="F50" i="9"/>
  <c r="BH50" i="28" s="1"/>
  <c r="F11" i="9"/>
  <c r="BH11" i="28" s="1"/>
  <c r="F25" i="9"/>
  <c r="BI25" i="28" s="1"/>
  <c r="G25" i="39" s="1"/>
  <c r="F38" i="9"/>
  <c r="BI38" i="28" s="1"/>
  <c r="G38" i="39" s="1"/>
  <c r="E51" i="28"/>
  <c r="I51" i="28" s="1"/>
  <c r="F27" i="9"/>
  <c r="BH27" i="28" s="1"/>
  <c r="F23" i="9"/>
  <c r="BI23" i="28" s="1"/>
  <c r="G23" i="39" s="1"/>
  <c r="F33" i="9"/>
  <c r="BH33" i="28" s="1"/>
  <c r="F49" i="9"/>
  <c r="BI49" i="28" s="1"/>
  <c r="G49" i="39" s="1"/>
  <c r="F35" i="9"/>
  <c r="BI35" i="28" s="1"/>
  <c r="G35" i="39" s="1"/>
  <c r="F17" i="9"/>
  <c r="BH17" i="28" s="1"/>
  <c r="F14" i="9"/>
  <c r="BI14" i="28" s="1"/>
  <c r="G14" i="39" s="1"/>
  <c r="F32" i="9"/>
  <c r="BH32" i="28" s="1"/>
  <c r="G29" i="28"/>
  <c r="I29" i="28" s="1"/>
  <c r="E33" i="28"/>
  <c r="I33" i="28" s="1"/>
  <c r="E25" i="28"/>
  <c r="I25" i="28" s="1"/>
  <c r="E43" i="28"/>
  <c r="I43" i="28" s="1"/>
  <c r="BI13" i="28"/>
  <c r="G13" i="39" s="1"/>
  <c r="G32" i="28"/>
  <c r="I32" i="28" s="1"/>
  <c r="E4" i="28"/>
  <c r="I4" i="28" s="1"/>
  <c r="E27" i="28"/>
  <c r="I27" i="28" s="1"/>
  <c r="BH43" i="28"/>
  <c r="G41" i="28"/>
  <c r="I41" i="28" s="1"/>
  <c r="G3" i="28"/>
  <c r="I3" i="28" s="1"/>
  <c r="G35" i="28"/>
  <c r="I35" i="28" s="1"/>
  <c r="G23" i="28"/>
  <c r="I23" i="28" s="1"/>
  <c r="G36" i="28"/>
  <c r="I36" i="28" s="1"/>
  <c r="E11" i="28"/>
  <c r="I11" i="28" s="1"/>
  <c r="E12" i="28"/>
  <c r="I12" i="28" s="1"/>
  <c r="G45" i="28"/>
  <c r="I45" i="28" s="1"/>
  <c r="G14" i="28"/>
  <c r="I14" i="28" s="1"/>
  <c r="E19" i="28"/>
  <c r="I19" i="28" s="1"/>
  <c r="E44" i="28"/>
  <c r="I44" i="28" s="1"/>
  <c r="E39" i="28"/>
  <c r="I39" i="28" s="1"/>
  <c r="G48" i="28"/>
  <c r="I48" i="28" s="1"/>
  <c r="BI30" i="28"/>
  <c r="G30" i="39" s="1"/>
  <c r="G6" i="28"/>
  <c r="I6" i="28" s="1"/>
  <c r="G49" i="28"/>
  <c r="I49" i="28" s="1"/>
  <c r="G10" i="28"/>
  <c r="I10" i="28" s="1"/>
  <c r="E38" i="28"/>
  <c r="I38" i="28" s="1"/>
  <c r="G17" i="28"/>
  <c r="I17" i="28" s="1"/>
  <c r="E47" i="28"/>
  <c r="I47" i="28" s="1"/>
  <c r="G16" i="28"/>
  <c r="I16" i="28" s="1"/>
  <c r="G15" i="28"/>
  <c r="E15" i="28"/>
  <c r="G8" i="28"/>
  <c r="I8" i="28" s="1"/>
  <c r="G50" i="28"/>
  <c r="I50" i="28" s="1"/>
  <c r="G7" i="28"/>
  <c r="I7" i="28" s="1"/>
  <c r="E34" i="28"/>
  <c r="I34" i="28" s="1"/>
  <c r="E9" i="28"/>
  <c r="I9" i="28" s="1"/>
  <c r="G18" i="28"/>
  <c r="I18" i="28" s="1"/>
  <c r="E46" i="28"/>
  <c r="G46" i="28"/>
  <c r="G28" i="28"/>
  <c r="I28" i="28" s="1"/>
  <c r="E31" i="28"/>
  <c r="G31" i="28"/>
  <c r="G5" i="28"/>
  <c r="E5" i="28"/>
  <c r="BH20" i="28"/>
  <c r="BI20" i="28"/>
  <c r="G20" i="39" s="1"/>
  <c r="BH42" i="28"/>
  <c r="BI42" i="28"/>
  <c r="G42" i="39" s="1"/>
  <c r="BI40" i="28"/>
  <c r="G40" i="39" s="1"/>
  <c r="BH40" i="28"/>
  <c r="BH9" i="28"/>
  <c r="BI9" i="28"/>
  <c r="G9" i="39" s="1"/>
  <c r="BH26" i="28"/>
  <c r="BI26" i="28"/>
  <c r="G26" i="39" s="1"/>
  <c r="BI21" i="28"/>
  <c r="G21" i="39" s="1"/>
  <c r="BH21" i="28"/>
  <c r="BI24" i="28"/>
  <c r="G24" i="39" s="1"/>
  <c r="BH24" i="28"/>
  <c r="AB51" i="18"/>
  <c r="AC51" i="18"/>
  <c r="AB4" i="18"/>
  <c r="AC4" i="18"/>
  <c r="AC46" i="18"/>
  <c r="AB46" i="18"/>
  <c r="AB34" i="18"/>
  <c r="BL33" i="26" s="1"/>
  <c r="AC34" i="18"/>
  <c r="AB21" i="18"/>
  <c r="BL20" i="26" s="1"/>
  <c r="AC21" i="18"/>
  <c r="BM20" i="26" s="1"/>
  <c r="AB39" i="18"/>
  <c r="AC39" i="18"/>
  <c r="AC10" i="18"/>
  <c r="AB10" i="18"/>
  <c r="AC41" i="18"/>
  <c r="AB41" i="18"/>
  <c r="BL40" i="26" s="1"/>
  <c r="AC42" i="18"/>
  <c r="BM41" i="26" s="1"/>
  <c r="AB42" i="18"/>
  <c r="BL41" i="26" s="1"/>
  <c r="AC3" i="18"/>
  <c r="AB3" i="18"/>
  <c r="AB13" i="18"/>
  <c r="BL12" i="26" s="1"/>
  <c r="AC13" i="18"/>
  <c r="AB43" i="18"/>
  <c r="AC43" i="18"/>
  <c r="AB50" i="18"/>
  <c r="AC50" i="18"/>
  <c r="AC44" i="18"/>
  <c r="AB44" i="18"/>
  <c r="AC37" i="18"/>
  <c r="AB37" i="18"/>
  <c r="AC31" i="18"/>
  <c r="AB31" i="18"/>
  <c r="AB6" i="18"/>
  <c r="BL5" i="26" s="1"/>
  <c r="AC6" i="18"/>
  <c r="AC8" i="18"/>
  <c r="AB8" i="18"/>
  <c r="AB33" i="18"/>
  <c r="AC33" i="18"/>
  <c r="AB24" i="18"/>
  <c r="AC24" i="18"/>
  <c r="AB26" i="18"/>
  <c r="AC26" i="18"/>
  <c r="AC18" i="18"/>
  <c r="AB18" i="18"/>
  <c r="AB5" i="18"/>
  <c r="AC5" i="18"/>
  <c r="AC48" i="18"/>
  <c r="AB48" i="18"/>
  <c r="BL47" i="26" s="1"/>
  <c r="AB22" i="18"/>
  <c r="AC22" i="18"/>
  <c r="AC16" i="18"/>
  <c r="AB16" i="18"/>
  <c r="AB47" i="18"/>
  <c r="AC47" i="18"/>
  <c r="AB35" i="18"/>
  <c r="BL34" i="26" s="1"/>
  <c r="AC35" i="18"/>
  <c r="BM34" i="26" s="1"/>
  <c r="AC9" i="18"/>
  <c r="AB9" i="18"/>
  <c r="AB29" i="18"/>
  <c r="AC29" i="18"/>
  <c r="AC45" i="18"/>
  <c r="AB45" i="18"/>
  <c r="AC27" i="18"/>
  <c r="BM26" i="26" s="1"/>
  <c r="AB27" i="18"/>
  <c r="BL26" i="26" s="1"/>
  <c r="AC38" i="18"/>
  <c r="AB38" i="18"/>
  <c r="AB20" i="18"/>
  <c r="BL19" i="26" s="1"/>
  <c r="AC20" i="18"/>
  <c r="AB11" i="18"/>
  <c r="AC11" i="18"/>
  <c r="AB40" i="18"/>
  <c r="AC40" i="18"/>
  <c r="AB32" i="18"/>
  <c r="AC32" i="18"/>
  <c r="AB19" i="18"/>
  <c r="AC19" i="18"/>
  <c r="AC36" i="18"/>
  <c r="AB36" i="18"/>
  <c r="AC30" i="18"/>
  <c r="AB30" i="18"/>
  <c r="AB17" i="18"/>
  <c r="AC17" i="18"/>
  <c r="AB52" i="18"/>
  <c r="AC52" i="18"/>
  <c r="AC49" i="18"/>
  <c r="BM48" i="26" s="1"/>
  <c r="AB49" i="18"/>
  <c r="BL48" i="26" s="1"/>
  <c r="AB14" i="18"/>
  <c r="BL13" i="26" s="1"/>
  <c r="AC14" i="18"/>
  <c r="BM13" i="26" s="1"/>
  <c r="AC15" i="18"/>
  <c r="AB15" i="18"/>
  <c r="AB7" i="18"/>
  <c r="BL6" i="26" s="1"/>
  <c r="AC7" i="18"/>
  <c r="BM6" i="26" s="1"/>
  <c r="AB23" i="18"/>
  <c r="AC23" i="18"/>
  <c r="AC12" i="18"/>
  <c r="AB12" i="18"/>
  <c r="AC28" i="18"/>
  <c r="BM27" i="26" s="1"/>
  <c r="AB28" i="18"/>
  <c r="BL27" i="26" s="1"/>
  <c r="AB25" i="18"/>
  <c r="AC25" i="18"/>
  <c r="CA34" i="28" l="1"/>
  <c r="BG13" i="28"/>
  <c r="CA42" i="28"/>
  <c r="BQ5" i="28"/>
  <c r="BN2" i="28"/>
  <c r="BM14" i="28"/>
  <c r="BH37" i="28"/>
  <c r="BN48" i="26"/>
  <c r="BN5" i="26"/>
  <c r="AT16" i="27"/>
  <c r="BM15" i="26"/>
  <c r="BM35" i="26"/>
  <c r="BL21" i="26"/>
  <c r="BM7" i="26"/>
  <c r="BN36" i="26"/>
  <c r="BN44" i="26"/>
  <c r="BN41" i="26"/>
  <c r="BN7" i="26"/>
  <c r="BM29" i="26"/>
  <c r="BN4" i="26"/>
  <c r="BN27" i="26"/>
  <c r="BN26" i="26"/>
  <c r="BN49" i="26"/>
  <c r="BN35" i="26"/>
  <c r="BL32" i="26"/>
  <c r="BM44" i="26"/>
  <c r="BN32" i="26"/>
  <c r="BN16" i="26"/>
  <c r="BM37" i="26"/>
  <c r="BM5" i="26"/>
  <c r="BL2" i="26"/>
  <c r="AT46" i="27"/>
  <c r="BM45" i="26"/>
  <c r="BM31" i="26"/>
  <c r="BM28" i="26"/>
  <c r="BM4" i="26"/>
  <c r="BL30" i="26"/>
  <c r="AT4" i="27"/>
  <c r="BN20" i="26"/>
  <c r="BN6" i="26"/>
  <c r="BN14" i="26"/>
  <c r="BN30" i="26"/>
  <c r="BN46" i="26"/>
  <c r="AS29" i="27"/>
  <c r="BL3" i="26"/>
  <c r="BN45" i="26"/>
  <c r="BN33" i="26"/>
  <c r="BN17" i="26"/>
  <c r="BN22" i="26"/>
  <c r="BN28" i="26"/>
  <c r="BG28" i="28"/>
  <c r="BN15" i="26"/>
  <c r="BN8" i="26"/>
  <c r="BN9" i="26"/>
  <c r="BL2" i="28"/>
  <c r="BL35" i="26"/>
  <c r="BM12" i="26"/>
  <c r="BN47" i="26"/>
  <c r="BN50" i="26"/>
  <c r="BL36" i="26"/>
  <c r="BL24" i="26"/>
  <c r="BL39" i="26"/>
  <c r="BM17" i="26"/>
  <c r="BM36" i="26"/>
  <c r="BM40" i="26"/>
  <c r="BN34" i="26"/>
  <c r="BN12" i="26"/>
  <c r="BN31" i="26"/>
  <c r="BN3" i="26"/>
  <c r="BL31" i="26"/>
  <c r="BL4" i="26"/>
  <c r="BM30" i="26"/>
  <c r="BM24" i="26"/>
  <c r="BL8" i="26"/>
  <c r="BM8" i="26"/>
  <c r="AS51" i="27"/>
  <c r="BL50" i="26"/>
  <c r="BM51" i="26"/>
  <c r="BM10" i="26"/>
  <c r="BM25" i="26"/>
  <c r="BL43" i="26"/>
  <c r="BL9" i="26"/>
  <c r="BN40" i="26"/>
  <c r="BN25" i="26"/>
  <c r="BO48" i="28"/>
  <c r="BL7" i="26"/>
  <c r="BL14" i="26"/>
  <c r="BM18" i="26"/>
  <c r="BL44" i="26"/>
  <c r="BL45" i="26"/>
  <c r="BM14" i="26"/>
  <c r="BL18" i="26"/>
  <c r="BM47" i="26"/>
  <c r="BM2" i="26"/>
  <c r="BM39" i="26"/>
  <c r="BL17" i="26"/>
  <c r="BM50" i="26"/>
  <c r="AS52" i="27"/>
  <c r="BL10" i="26"/>
  <c r="BL25" i="26"/>
  <c r="BN23" i="26"/>
  <c r="BN51" i="26"/>
  <c r="AT44" i="27"/>
  <c r="BM43" i="26"/>
  <c r="AT10" i="27"/>
  <c r="BM9" i="26"/>
  <c r="BN21" i="26"/>
  <c r="BL11" i="26"/>
  <c r="BM16" i="26"/>
  <c r="BM19" i="26"/>
  <c r="BM46" i="26"/>
  <c r="BM23" i="26"/>
  <c r="BM49" i="26"/>
  <c r="BM38" i="26"/>
  <c r="BN2" i="26"/>
  <c r="BN39" i="26"/>
  <c r="BN11" i="26"/>
  <c r="BN10" i="26"/>
  <c r="BN42" i="26"/>
  <c r="BN38" i="26"/>
  <c r="BN24" i="26"/>
  <c r="BL22" i="26"/>
  <c r="BL42" i="26"/>
  <c r="BM21" i="26"/>
  <c r="AT34" i="27"/>
  <c r="AT12" i="27"/>
  <c r="BM11" i="26"/>
  <c r="AS17" i="27"/>
  <c r="BL16" i="26"/>
  <c r="BL46" i="26"/>
  <c r="BL23" i="26"/>
  <c r="BL49" i="26"/>
  <c r="BL38" i="26"/>
  <c r="BN37" i="26"/>
  <c r="BM22" i="26"/>
  <c r="BL29" i="26"/>
  <c r="BL37" i="26"/>
  <c r="BL15" i="26"/>
  <c r="BM32" i="26"/>
  <c r="BM42" i="26"/>
  <c r="AT43" i="27"/>
  <c r="BN18" i="26"/>
  <c r="BN19" i="26"/>
  <c r="BN13" i="26"/>
  <c r="BN43" i="26"/>
  <c r="BN29" i="26"/>
  <c r="BQ36" i="28"/>
  <c r="BG32" i="28"/>
  <c r="CA48" i="28"/>
  <c r="BG51" i="28"/>
  <c r="BG5" i="28"/>
  <c r="BO6" i="28"/>
  <c r="BJ6" i="28"/>
  <c r="BG16" i="28"/>
  <c r="BG8" i="28"/>
  <c r="BG6" i="28"/>
  <c r="BM30" i="28"/>
  <c r="BO3" i="28"/>
  <c r="BK31" i="28"/>
  <c r="BP13" i="28"/>
  <c r="BP24" i="28"/>
  <c r="BG40" i="28"/>
  <c r="BG14" i="28"/>
  <c r="BK39" i="28"/>
  <c r="BG46" i="28"/>
  <c r="BO19" i="28"/>
  <c r="BN24" i="28"/>
  <c r="BK41" i="28"/>
  <c r="BP49" i="28"/>
  <c r="BP20" i="28"/>
  <c r="BG36" i="28"/>
  <c r="BG15" i="28"/>
  <c r="BG49" i="28"/>
  <c r="BN13" i="28"/>
  <c r="BP11" i="28"/>
  <c r="BJ50" i="28"/>
  <c r="BQ21" i="28"/>
  <c r="BM7" i="28"/>
  <c r="BL15" i="28"/>
  <c r="BM32" i="28"/>
  <c r="CB17" i="28"/>
  <c r="BN42" i="28"/>
  <c r="BG29" i="28"/>
  <c r="CB8" i="28"/>
  <c r="CC2" i="28"/>
  <c r="CA32" i="28"/>
  <c r="BZ6" i="28"/>
  <c r="BU31" i="28"/>
  <c r="BU51" i="28"/>
  <c r="BU3" i="28"/>
  <c r="BX6" i="28"/>
  <c r="BX8" i="28"/>
  <c r="BX4" i="28"/>
  <c r="BX20" i="28"/>
  <c r="BY51" i="28"/>
  <c r="BY30" i="28"/>
  <c r="BY45" i="28"/>
  <c r="BW2" i="28"/>
  <c r="BU46" i="28"/>
  <c r="BT23" i="28"/>
  <c r="BT50" i="28"/>
  <c r="BU29" i="28"/>
  <c r="BU35" i="28"/>
  <c r="BT44" i="28"/>
  <c r="BT9" i="28"/>
  <c r="BT45" i="28"/>
  <c r="BT12" i="28"/>
  <c r="BU20" i="28"/>
  <c r="BU24" i="28"/>
  <c r="BT37" i="28"/>
  <c r="BV47" i="28"/>
  <c r="BV12" i="28"/>
  <c r="BT43" i="28"/>
  <c r="BU38" i="28"/>
  <c r="BT16" i="28"/>
  <c r="BT36" i="28"/>
  <c r="BT42" i="28"/>
  <c r="BW16" i="28"/>
  <c r="BV38" i="28"/>
  <c r="CA38" i="28"/>
  <c r="BT30" i="28"/>
  <c r="BT32" i="28"/>
  <c r="BX46" i="28"/>
  <c r="BX40" i="28"/>
  <c r="BY48" i="28"/>
  <c r="CA39" i="28"/>
  <c r="BG12" i="28"/>
  <c r="BG45" i="28"/>
  <c r="BT6" i="28"/>
  <c r="BG38" i="28"/>
  <c r="BG31" i="28"/>
  <c r="CA16" i="28"/>
  <c r="BG48" i="28"/>
  <c r="BX50" i="28"/>
  <c r="BG21" i="28"/>
  <c r="BG26" i="28"/>
  <c r="CB30" i="28"/>
  <c r="BH34" i="28"/>
  <c r="BG42" i="28"/>
  <c r="BG37" i="28"/>
  <c r="BG35" i="28"/>
  <c r="BT2" i="28"/>
  <c r="CC36" i="28"/>
  <c r="CB36" i="28"/>
  <c r="CB21" i="28"/>
  <c r="CC21" i="28"/>
  <c r="BG19" i="28"/>
  <c r="BG30" i="28"/>
  <c r="CB37" i="28"/>
  <c r="CC37" i="28"/>
  <c r="CB28" i="28"/>
  <c r="CC28" i="28"/>
  <c r="BG9" i="28"/>
  <c r="CB34" i="28"/>
  <c r="CC34" i="28"/>
  <c r="CB11" i="28"/>
  <c r="CC11" i="28"/>
  <c r="BG50" i="28"/>
  <c r="CB14" i="28"/>
  <c r="CC14" i="28"/>
  <c r="CC51" i="28"/>
  <c r="CB51" i="28"/>
  <c r="BG3" i="28"/>
  <c r="BG27" i="28"/>
  <c r="BG20" i="28"/>
  <c r="BG7" i="28"/>
  <c r="CB45" i="28"/>
  <c r="CC45" i="28"/>
  <c r="BG43" i="28"/>
  <c r="BG23" i="28"/>
  <c r="BX34" i="28"/>
  <c r="CC10" i="28"/>
  <c r="CB10" i="28"/>
  <c r="BG41" i="28"/>
  <c r="BG24" i="28"/>
  <c r="CB15" i="28"/>
  <c r="CC15" i="28"/>
  <c r="BG17" i="28"/>
  <c r="BG34" i="28"/>
  <c r="BG10" i="28"/>
  <c r="BG18" i="28"/>
  <c r="BG47" i="28"/>
  <c r="BG11" i="28"/>
  <c r="BG33" i="28"/>
  <c r="BG2" i="28"/>
  <c r="D35" i="31"/>
  <c r="B35" i="31" s="1"/>
  <c r="D85" i="31" s="1"/>
  <c r="BI22" i="28"/>
  <c r="G22" i="39" s="1"/>
  <c r="AU3" i="27"/>
  <c r="AV3" i="27"/>
  <c r="I22" i="28"/>
  <c r="AT30" i="27"/>
  <c r="AT7" i="27"/>
  <c r="AT49" i="27"/>
  <c r="AT18" i="27"/>
  <c r="AT9" i="27"/>
  <c r="AT11" i="27"/>
  <c r="AT35" i="27"/>
  <c r="AT26" i="27"/>
  <c r="AT28" i="27"/>
  <c r="AT21" i="27"/>
  <c r="AT36" i="27"/>
  <c r="AT27" i="27"/>
  <c r="AT17" i="27"/>
  <c r="AT15" i="27"/>
  <c r="AT48" i="27"/>
  <c r="AT5" i="27"/>
  <c r="AT19" i="27"/>
  <c r="AT6" i="27"/>
  <c r="AT29" i="27"/>
  <c r="AT25" i="27"/>
  <c r="AT51" i="27"/>
  <c r="BN45" i="28"/>
  <c r="BN50" i="28"/>
  <c r="BO39" i="28"/>
  <c r="BL38" i="28"/>
  <c r="BP10" i="28"/>
  <c r="BY11" i="28"/>
  <c r="BL24" i="28"/>
  <c r="BY47" i="28"/>
  <c r="BQ50" i="28"/>
  <c r="BL45" i="28"/>
  <c r="BQ47" i="28"/>
  <c r="BI12" i="28"/>
  <c r="G12" i="39" s="1"/>
  <c r="BI36" i="28"/>
  <c r="G36" i="39" s="1"/>
  <c r="BM19" i="28"/>
  <c r="BQ48" i="28"/>
  <c r="CA24" i="28"/>
  <c r="BJ13" i="28"/>
  <c r="BV48" i="28"/>
  <c r="BN15" i="28"/>
  <c r="BW46" i="28"/>
  <c r="BQ30" i="28"/>
  <c r="BT13" i="28"/>
  <c r="BP19" i="28"/>
  <c r="BY41" i="28"/>
  <c r="CA17" i="28"/>
  <c r="BQ26" i="28"/>
  <c r="BM39" i="28"/>
  <c r="BQ41" i="28"/>
  <c r="D39" i="31"/>
  <c r="B39" i="31" s="1"/>
  <c r="D89" i="31" s="1"/>
  <c r="D31" i="31"/>
  <c r="B31" i="31" s="1"/>
  <c r="D47" i="31" s="1"/>
  <c r="BN36" i="28"/>
  <c r="BP23" i="28"/>
  <c r="BJ5" i="28"/>
  <c r="BK14" i="28"/>
  <c r="BY19" i="28"/>
  <c r="BL20" i="28"/>
  <c r="BI31" i="28"/>
  <c r="G31" i="39" s="1"/>
  <c r="BK46" i="28"/>
  <c r="BL5" i="28"/>
  <c r="BQ12" i="28"/>
  <c r="BW32" i="28"/>
  <c r="BY12" i="28"/>
  <c r="BU28" i="28"/>
  <c r="BY17" i="28"/>
  <c r="BW35" i="28"/>
  <c r="BO51" i="28"/>
  <c r="BX38" i="28"/>
  <c r="BZ51" i="28"/>
  <c r="BW39" i="28"/>
  <c r="BU48" i="28"/>
  <c r="BY3" i="28"/>
  <c r="BK36" i="28"/>
  <c r="BP51" i="28"/>
  <c r="BY31" i="28"/>
  <c r="BL40" i="28"/>
  <c r="BQ16" i="28"/>
  <c r="BW24" i="28"/>
  <c r="BY16" i="28"/>
  <c r="BZ36" i="28"/>
  <c r="BJ28" i="28"/>
  <c r="BY5" i="28"/>
  <c r="BZ29" i="28"/>
  <c r="BY36" i="28"/>
  <c r="BV42" i="28"/>
  <c r="BW37" i="28"/>
  <c r="BJ16" i="28"/>
  <c r="BJ37" i="28"/>
  <c r="CA41" i="28"/>
  <c r="BZ22" i="28"/>
  <c r="BV34" i="28"/>
  <c r="BJ12" i="28"/>
  <c r="BW15" i="28"/>
  <c r="BO22" i="28"/>
  <c r="CA15" i="28"/>
  <c r="BL8" i="28"/>
  <c r="CA27" i="28"/>
  <c r="BN38" i="28"/>
  <c r="BY13" i="28"/>
  <c r="BV49" i="28"/>
  <c r="BN29" i="28"/>
  <c r="BK42" i="28"/>
  <c r="BV29" i="28"/>
  <c r="BO7" i="28"/>
  <c r="BZ7" i="28"/>
  <c r="BY15" i="28"/>
  <c r="BP35" i="28"/>
  <c r="BL27" i="28"/>
  <c r="BQ46" i="28"/>
  <c r="BY10" i="28"/>
  <c r="BT19" i="28"/>
  <c r="BQ17" i="28"/>
  <c r="BU14" i="28"/>
  <c r="BJ35" i="28"/>
  <c r="AM8" i="28"/>
  <c r="B43" i="31"/>
  <c r="D93" i="31" s="1"/>
  <c r="BI51" i="28"/>
  <c r="G51" i="39" s="1"/>
  <c r="BX21" i="28"/>
  <c r="BW11" i="28"/>
  <c r="BI46" i="28"/>
  <c r="G46" i="39" s="1"/>
  <c r="BU8" i="28"/>
  <c r="BW44" i="28"/>
  <c r="BJ43" i="28"/>
  <c r="BY43" i="28"/>
  <c r="BO10" i="28"/>
  <c r="BY18" i="28"/>
  <c r="BZ8" i="28"/>
  <c r="N38" i="28"/>
  <c r="AW46" i="28"/>
  <c r="S40" i="28"/>
  <c r="X34" i="28"/>
  <c r="S35" i="28"/>
  <c r="S39" i="28"/>
  <c r="BP39" i="28"/>
  <c r="BZ50" i="28"/>
  <c r="BZ12" i="28"/>
  <c r="BK26" i="28"/>
  <c r="BN31" i="28"/>
  <c r="BW22" i="28"/>
  <c r="BK49" i="28"/>
  <c r="BU39" i="28"/>
  <c r="BO21" i="28"/>
  <c r="BV10" i="28"/>
  <c r="BW25" i="28"/>
  <c r="BW8" i="28"/>
  <c r="BT18" i="28"/>
  <c r="BL28" i="28"/>
  <c r="BU25" i="28"/>
  <c r="BP9" i="28"/>
  <c r="BO25" i="28"/>
  <c r="BO16" i="28"/>
  <c r="BL44" i="28"/>
  <c r="BL22" i="28"/>
  <c r="BZ47" i="28"/>
  <c r="BX32" i="28"/>
  <c r="BK17" i="28"/>
  <c r="CA33" i="28"/>
  <c r="BK7" i="28"/>
  <c r="BO14" i="28"/>
  <c r="BN33" i="28"/>
  <c r="BP3" i="28"/>
  <c r="BK34" i="28"/>
  <c r="BP15" i="28"/>
  <c r="BQ4" i="28"/>
  <c r="CA19" i="28"/>
  <c r="BK44" i="28"/>
  <c r="S30" i="28"/>
  <c r="N37" i="28"/>
  <c r="AC7" i="28"/>
  <c r="S44" i="28"/>
  <c r="AR17" i="28"/>
  <c r="BB35" i="28"/>
  <c r="BY28" i="28"/>
  <c r="BO28" i="28"/>
  <c r="BB7" i="28"/>
  <c r="AC46" i="28"/>
  <c r="N10" i="28"/>
  <c r="AC40" i="28"/>
  <c r="N6" i="28"/>
  <c r="S5" i="28"/>
  <c r="AC26" i="28"/>
  <c r="BO23" i="28"/>
  <c r="X45" i="28"/>
  <c r="X25" i="28"/>
  <c r="BP31" i="28"/>
  <c r="BZ9" i="28"/>
  <c r="CA23" i="28"/>
  <c r="BP40" i="28"/>
  <c r="BZ31" i="28"/>
  <c r="AW16" i="28"/>
  <c r="AW17" i="28"/>
  <c r="BU34" i="28"/>
  <c r="BU40" i="28"/>
  <c r="BU27" i="28"/>
  <c r="AW37" i="28"/>
  <c r="X22" i="28"/>
  <c r="AW7" i="28"/>
  <c r="AM40" i="28"/>
  <c r="S21" i="28"/>
  <c r="S7" i="28"/>
  <c r="AM4" i="28"/>
  <c r="N5" i="28"/>
  <c r="N25" i="28"/>
  <c r="N50" i="28"/>
  <c r="AM23" i="28"/>
  <c r="AR24" i="28"/>
  <c r="BB27" i="28"/>
  <c r="BB34" i="28"/>
  <c r="X20" i="28"/>
  <c r="BI16" i="28"/>
  <c r="G16" i="39" s="1"/>
  <c r="BU49" i="28"/>
  <c r="AR4" i="28"/>
  <c r="N17" i="28"/>
  <c r="BM48" i="28"/>
  <c r="BT22" i="28"/>
  <c r="S13" i="28"/>
  <c r="S48" i="28"/>
  <c r="BH19" i="28"/>
  <c r="AM19" i="28"/>
  <c r="AW27" i="28"/>
  <c r="BB6" i="28"/>
  <c r="BP28" i="28"/>
  <c r="BN8" i="28"/>
  <c r="BU4" i="28"/>
  <c r="BU21" i="28"/>
  <c r="AR20" i="28"/>
  <c r="X4" i="28"/>
  <c r="AW5" i="28"/>
  <c r="N40" i="28"/>
  <c r="S46" i="28"/>
  <c r="AR15" i="28"/>
  <c r="BT11" i="28"/>
  <c r="X41" i="28"/>
  <c r="AM47" i="28"/>
  <c r="X40" i="28"/>
  <c r="BB28" i="28"/>
  <c r="AC37" i="28"/>
  <c r="N35" i="28"/>
  <c r="AM13" i="28"/>
  <c r="BB26" i="28"/>
  <c r="X44" i="28"/>
  <c r="BB32" i="28"/>
  <c r="AR50" i="28"/>
  <c r="AW8" i="28"/>
  <c r="X36" i="28"/>
  <c r="N7" i="28"/>
  <c r="S38" i="28"/>
  <c r="X9" i="28"/>
  <c r="S34" i="28"/>
  <c r="X19" i="28"/>
  <c r="AW35" i="28"/>
  <c r="AM41" i="28"/>
  <c r="AR9" i="28"/>
  <c r="AM30" i="28"/>
  <c r="N18" i="28"/>
  <c r="N20" i="28"/>
  <c r="X14" i="28"/>
  <c r="BB49" i="28"/>
  <c r="S51" i="28"/>
  <c r="X12" i="28"/>
  <c r="AC27" i="28"/>
  <c r="AW31" i="28"/>
  <c r="AR10" i="28"/>
  <c r="AC32" i="28"/>
  <c r="S36" i="28"/>
  <c r="BB46" i="28"/>
  <c r="AR3" i="28"/>
  <c r="AR47" i="28"/>
  <c r="X7" i="28"/>
  <c r="N14" i="28"/>
  <c r="AW50" i="28"/>
  <c r="AR5" i="28"/>
  <c r="S15" i="28"/>
  <c r="N26" i="28"/>
  <c r="S49" i="28"/>
  <c r="X49" i="28"/>
  <c r="AW43" i="28"/>
  <c r="AC35" i="28"/>
  <c r="BB8" i="28"/>
  <c r="X6" i="28"/>
  <c r="N34" i="28"/>
  <c r="S4" i="28"/>
  <c r="S12" i="28"/>
  <c r="N36" i="28"/>
  <c r="AC51" i="28"/>
  <c r="AC44" i="28"/>
  <c r="AM3" i="28"/>
  <c r="AW28" i="28"/>
  <c r="AW19" i="28"/>
  <c r="AM39" i="28"/>
  <c r="AW18" i="28"/>
  <c r="AM25" i="28"/>
  <c r="AC33" i="28"/>
  <c r="AW34" i="28"/>
  <c r="AW23" i="28"/>
  <c r="AW36" i="28"/>
  <c r="AC29" i="28"/>
  <c r="AW44" i="28"/>
  <c r="AM32" i="28"/>
  <c r="BB23" i="28"/>
  <c r="AM45" i="28"/>
  <c r="S6" i="28"/>
  <c r="S50" i="28"/>
  <c r="AR12" i="28"/>
  <c r="S26" i="28"/>
  <c r="N11" i="28"/>
  <c r="S17" i="28"/>
  <c r="AC45" i="28"/>
  <c r="BB37" i="28"/>
  <c r="BB33" i="28"/>
  <c r="S27" i="28"/>
  <c r="X48" i="28"/>
  <c r="AW33" i="28"/>
  <c r="AW22" i="28"/>
  <c r="AW15" i="28"/>
  <c r="X31" i="28"/>
  <c r="AM34" i="28"/>
  <c r="AC34" i="28"/>
  <c r="N31" i="28"/>
  <c r="AR36" i="28"/>
  <c r="BB48" i="28"/>
  <c r="AW13" i="28"/>
  <c r="N21" i="28"/>
  <c r="S24" i="28"/>
  <c r="BB40" i="28"/>
  <c r="AM15" i="28"/>
  <c r="S31" i="28"/>
  <c r="X21" i="28"/>
  <c r="AC5" i="28"/>
  <c r="AC3" i="28"/>
  <c r="AC38" i="28"/>
  <c r="X43" i="28"/>
  <c r="AR16" i="28"/>
  <c r="N8" i="28"/>
  <c r="N16" i="28"/>
  <c r="AW48" i="28"/>
  <c r="AM6" i="28"/>
  <c r="AR26" i="28"/>
  <c r="AC31" i="28"/>
  <c r="AR43" i="28"/>
  <c r="AR33" i="28"/>
  <c r="BB21" i="28"/>
  <c r="S16" i="28"/>
  <c r="AM29" i="28"/>
  <c r="N30" i="28"/>
  <c r="X23" i="28"/>
  <c r="AC13" i="28"/>
  <c r="S18" i="28"/>
  <c r="S25" i="28"/>
  <c r="AC23" i="28"/>
  <c r="BB3" i="28"/>
  <c r="AC17" i="28"/>
  <c r="N22" i="28"/>
  <c r="AM33" i="28"/>
  <c r="AC42" i="28"/>
  <c r="X32" i="28"/>
  <c r="S28" i="28"/>
  <c r="AR45" i="28"/>
  <c r="AM43" i="28"/>
  <c r="N48" i="28"/>
  <c r="N9" i="28"/>
  <c r="AM24" i="28"/>
  <c r="AW45" i="28"/>
  <c r="AR44" i="28"/>
  <c r="AC22" i="28"/>
  <c r="AR27" i="28"/>
  <c r="AW49" i="28"/>
  <c r="AR37" i="28"/>
  <c r="S10" i="28"/>
  <c r="S41" i="28"/>
  <c r="S22" i="28"/>
  <c r="AM44" i="28"/>
  <c r="AC18" i="28"/>
  <c r="BB24" i="28"/>
  <c r="X24" i="28"/>
  <c r="AM10" i="28"/>
  <c r="BB15" i="28"/>
  <c r="AM50" i="28"/>
  <c r="BJ25" i="28"/>
  <c r="BK25" i="28"/>
  <c r="BJ24" i="28"/>
  <c r="BK24" i="28"/>
  <c r="N45" i="28"/>
  <c r="BP18" i="28"/>
  <c r="BQ18" i="28"/>
  <c r="AM5" i="28"/>
  <c r="N4" i="28"/>
  <c r="AC21" i="28"/>
  <c r="AM11" i="28"/>
  <c r="BP34" i="28"/>
  <c r="BQ34" i="28"/>
  <c r="X50" i="28"/>
  <c r="N15" i="28"/>
  <c r="AM17" i="28"/>
  <c r="S42" i="28"/>
  <c r="AM37" i="28"/>
  <c r="BB38" i="28"/>
  <c r="N42" i="28"/>
  <c r="BL35" i="28"/>
  <c r="BM35" i="28"/>
  <c r="BB16" i="28"/>
  <c r="AW38" i="28"/>
  <c r="BW4" i="28"/>
  <c r="BV4" i="28"/>
  <c r="AR46" i="28"/>
  <c r="AC20" i="28"/>
  <c r="BM41" i="28"/>
  <c r="BL41" i="28"/>
  <c r="AW21" i="28"/>
  <c r="X5" i="28"/>
  <c r="S11" i="28"/>
  <c r="AR14" i="28"/>
  <c r="AW42" i="28"/>
  <c r="AR38" i="28"/>
  <c r="BJ47" i="28"/>
  <c r="BK47" i="28"/>
  <c r="BO47" i="28"/>
  <c r="BN47" i="28"/>
  <c r="N29" i="28"/>
  <c r="N13" i="28"/>
  <c r="AC16" i="28"/>
  <c r="AR42" i="28"/>
  <c r="AR21" i="28"/>
  <c r="AR41" i="28"/>
  <c r="BP43" i="28"/>
  <c r="BQ43" i="28"/>
  <c r="BB19" i="28"/>
  <c r="BB42" i="28"/>
  <c r="AM42" i="28"/>
  <c r="BX44" i="28"/>
  <c r="BY44" i="28"/>
  <c r="BZ13" i="28"/>
  <c r="CA13" i="28"/>
  <c r="BO17" i="28"/>
  <c r="BN17" i="28"/>
  <c r="BQ33" i="28"/>
  <c r="BP33" i="28"/>
  <c r="BL11" i="28"/>
  <c r="BM11" i="28"/>
  <c r="BQ38" i="28"/>
  <c r="BP38" i="28"/>
  <c r="BX24" i="28"/>
  <c r="BY24" i="28"/>
  <c r="BM29" i="28"/>
  <c r="BL29" i="28"/>
  <c r="BZ4" i="28"/>
  <c r="CA4" i="28"/>
  <c r="CA44" i="28"/>
  <c r="BZ44" i="28"/>
  <c r="BI18" i="28"/>
  <c r="G18" i="39" s="1"/>
  <c r="BQ45" i="28"/>
  <c r="BP45" i="28"/>
  <c r="BV30" i="28"/>
  <c r="BW30" i="28"/>
  <c r="BB14" i="28"/>
  <c r="S47" i="28"/>
  <c r="AR19" i="28"/>
  <c r="BV51" i="28"/>
  <c r="BW51" i="28"/>
  <c r="BZ25" i="28"/>
  <c r="CA25" i="28"/>
  <c r="BM6" i="28"/>
  <c r="BL6" i="28"/>
  <c r="BV43" i="28"/>
  <c r="BW43" i="28"/>
  <c r="AM46" i="28"/>
  <c r="X42" i="28"/>
  <c r="BW6" i="28"/>
  <c r="BV6" i="28"/>
  <c r="BW31" i="28"/>
  <c r="BV31" i="28"/>
  <c r="BK23" i="28"/>
  <c r="BJ23" i="28"/>
  <c r="CA3" i="28"/>
  <c r="BZ3" i="28"/>
  <c r="BV26" i="28"/>
  <c r="BW26" i="28"/>
  <c r="AM28" i="28"/>
  <c r="BB31" i="28"/>
  <c r="BN4" i="28"/>
  <c r="BO4" i="28"/>
  <c r="BJ29" i="28"/>
  <c r="BK29" i="28"/>
  <c r="BW45" i="28"/>
  <c r="BV45" i="28"/>
  <c r="BY7" i="28"/>
  <c r="BX7" i="28"/>
  <c r="BX33" i="28"/>
  <c r="BY33" i="28"/>
  <c r="AM35" i="28"/>
  <c r="CA46" i="28"/>
  <c r="BZ46" i="28"/>
  <c r="CA30" i="28"/>
  <c r="BZ30" i="28"/>
  <c r="AW4" i="28"/>
  <c r="BN20" i="28"/>
  <c r="BO20" i="28"/>
  <c r="BL23" i="28"/>
  <c r="BM23" i="28"/>
  <c r="BW50" i="28"/>
  <c r="BV50" i="28"/>
  <c r="AW6" i="28"/>
  <c r="AM38" i="28"/>
  <c r="BQ8" i="28"/>
  <c r="BP8" i="28"/>
  <c r="AR40" i="28"/>
  <c r="X38" i="28"/>
  <c r="BM3" i="28"/>
  <c r="BL3" i="28"/>
  <c r="BV28" i="28"/>
  <c r="BW28" i="28"/>
  <c r="S9" i="28"/>
  <c r="BK22" i="28"/>
  <c r="BJ22" i="28"/>
  <c r="BZ11" i="28"/>
  <c r="CA11" i="28"/>
  <c r="AR49" i="28"/>
  <c r="AM36" i="28"/>
  <c r="BB13" i="28"/>
  <c r="BB20" i="28"/>
  <c r="N47" i="28"/>
  <c r="AC9" i="28"/>
  <c r="BW20" i="28"/>
  <c r="BV20" i="28"/>
  <c r="AC50" i="28"/>
  <c r="BB4" i="28"/>
  <c r="AW9" i="28"/>
  <c r="BY25" i="28"/>
  <c r="BX25" i="28"/>
  <c r="AM31" i="28"/>
  <c r="BB44" i="28"/>
  <c r="BB41" i="28"/>
  <c r="BB29" i="28"/>
  <c r="X11" i="28"/>
  <c r="AR35" i="28"/>
  <c r="BK15" i="28"/>
  <c r="BJ15" i="28"/>
  <c r="AC41" i="28"/>
  <c r="AW29" i="28"/>
  <c r="AW10" i="28"/>
  <c r="AC47" i="28"/>
  <c r="BN34" i="28"/>
  <c r="BO34" i="28"/>
  <c r="N51" i="28"/>
  <c r="AC43" i="28"/>
  <c r="N27" i="28"/>
  <c r="S23" i="28"/>
  <c r="N33" i="28"/>
  <c r="AW3" i="28"/>
  <c r="BJ33" i="28"/>
  <c r="BK33" i="28"/>
  <c r="X35" i="28"/>
  <c r="BZ10" i="28"/>
  <c r="CA10" i="28"/>
  <c r="AW39" i="28"/>
  <c r="AC11" i="28"/>
  <c r="S32" i="28"/>
  <c r="AM26" i="28"/>
  <c r="X28" i="28"/>
  <c r="BL42" i="28"/>
  <c r="BM42" i="28"/>
  <c r="BX37" i="28"/>
  <c r="BY37" i="28"/>
  <c r="AW12" i="28"/>
  <c r="AM51" i="28"/>
  <c r="AM27" i="28"/>
  <c r="N24" i="28"/>
  <c r="BZ49" i="28"/>
  <c r="CA49" i="28"/>
  <c r="N23" i="28"/>
  <c r="BO26" i="28"/>
  <c r="BN26" i="28"/>
  <c r="BL21" i="28"/>
  <c r="BM21" i="28"/>
  <c r="S8" i="28"/>
  <c r="S20" i="28"/>
  <c r="AR23" i="28"/>
  <c r="AR29" i="28"/>
  <c r="BY35" i="28"/>
  <c r="BX35" i="28"/>
  <c r="BB12" i="28"/>
  <c r="AR18" i="28"/>
  <c r="N32" i="28"/>
  <c r="BB51" i="28"/>
  <c r="BN35" i="28"/>
  <c r="BO35" i="28"/>
  <c r="AW32" i="28"/>
  <c r="BB9" i="28"/>
  <c r="BV13" i="28"/>
  <c r="BW13" i="28"/>
  <c r="BL16" i="28"/>
  <c r="BM16" i="28"/>
  <c r="X10" i="28"/>
  <c r="AW30" i="28"/>
  <c r="BV5" i="28"/>
  <c r="BW5" i="28"/>
  <c r="BJ30" i="28"/>
  <c r="BK30" i="28"/>
  <c r="AR31" i="28"/>
  <c r="AM49" i="28"/>
  <c r="N49" i="28"/>
  <c r="BW19" i="28"/>
  <c r="BV19" i="28"/>
  <c r="BZ40" i="28"/>
  <c r="CA40" i="28"/>
  <c r="N41" i="28"/>
  <c r="BV40" i="28"/>
  <c r="BW40" i="28"/>
  <c r="AR30" i="28"/>
  <c r="X15" i="28"/>
  <c r="BQ14" i="28"/>
  <c r="BP14" i="28"/>
  <c r="AC49" i="28"/>
  <c r="BY39" i="28"/>
  <c r="BX39" i="28"/>
  <c r="BB22" i="28"/>
  <c r="CA26" i="28"/>
  <c r="BZ26" i="28"/>
  <c r="N44" i="28"/>
  <c r="X3" i="28"/>
  <c r="AR39" i="28"/>
  <c r="AW24" i="28"/>
  <c r="BN44" i="28"/>
  <c r="BO44" i="28"/>
  <c r="BY42" i="28"/>
  <c r="BX42" i="28"/>
  <c r="X37" i="28"/>
  <c r="BB11" i="28"/>
  <c r="X47" i="28"/>
  <c r="AW41" i="28"/>
  <c r="AC4" i="28"/>
  <c r="BJ32" i="28"/>
  <c r="BK32" i="28"/>
  <c r="X26" i="28"/>
  <c r="N3" i="28"/>
  <c r="BB17" i="28"/>
  <c r="BY23" i="28"/>
  <c r="BX23" i="28"/>
  <c r="BP32" i="28"/>
  <c r="BQ32" i="28"/>
  <c r="AC8" i="28"/>
  <c r="N43" i="28"/>
  <c r="BP29" i="28"/>
  <c r="BQ29" i="28"/>
  <c r="AR32" i="28"/>
  <c r="AW40" i="28"/>
  <c r="BK48" i="28"/>
  <c r="BJ48" i="28"/>
  <c r="BL4" i="28"/>
  <c r="BM4" i="28"/>
  <c r="BX9" i="28"/>
  <c r="BY9" i="28"/>
  <c r="BO5" i="28"/>
  <c r="BN5" i="28"/>
  <c r="BW36" i="28"/>
  <c r="BV36" i="28"/>
  <c r="BV18" i="28"/>
  <c r="BW18" i="28"/>
  <c r="BN49" i="28"/>
  <c r="BO49" i="28"/>
  <c r="CA43" i="28"/>
  <c r="BZ43" i="28"/>
  <c r="BX14" i="28"/>
  <c r="BY14" i="28"/>
  <c r="BB39" i="28"/>
  <c r="BB47" i="28"/>
  <c r="BL49" i="28"/>
  <c r="BM49" i="28"/>
  <c r="AW14" i="28"/>
  <c r="S14" i="28"/>
  <c r="CA20" i="28"/>
  <c r="BZ20" i="28"/>
  <c r="BJ9" i="28"/>
  <c r="BK9" i="28"/>
  <c r="AC15" i="28"/>
  <c r="BL46" i="28"/>
  <c r="BM46" i="28"/>
  <c r="AM9" i="28"/>
  <c r="X13" i="28"/>
  <c r="BJ8" i="28"/>
  <c r="BK8" i="28"/>
  <c r="AC39" i="28"/>
  <c r="BB30" i="28"/>
  <c r="BV27" i="28"/>
  <c r="BW27" i="28"/>
  <c r="AM21" i="28"/>
  <c r="AC48" i="28"/>
  <c r="AR51" i="28"/>
  <c r="BN27" i="28"/>
  <c r="BO27" i="28"/>
  <c r="AR6" i="28"/>
  <c r="BJ40" i="28"/>
  <c r="BK40" i="28"/>
  <c r="X18" i="28"/>
  <c r="BV14" i="28"/>
  <c r="BW14" i="28"/>
  <c r="BP25" i="28"/>
  <c r="BQ25" i="28"/>
  <c r="BX49" i="28"/>
  <c r="BY49" i="28"/>
  <c r="S33" i="28"/>
  <c r="X29" i="28"/>
  <c r="BX29" i="28"/>
  <c r="BY29" i="28"/>
  <c r="BM10" i="28"/>
  <c r="BL10" i="28"/>
  <c r="BP22" i="28"/>
  <c r="BQ22" i="28"/>
  <c r="AM22" i="28"/>
  <c r="BW33" i="28"/>
  <c r="BV33" i="28"/>
  <c r="BJ18" i="28"/>
  <c r="BK18" i="28"/>
  <c r="CA5" i="28"/>
  <c r="BZ5" i="28"/>
  <c r="BM12" i="28"/>
  <c r="BL12" i="28"/>
  <c r="BB43" i="28"/>
  <c r="BL25" i="28"/>
  <c r="BM25" i="28"/>
  <c r="BX26" i="28"/>
  <c r="BY26" i="28"/>
  <c r="AW51" i="28"/>
  <c r="X27" i="28"/>
  <c r="AR11" i="28"/>
  <c r="BM43" i="28"/>
  <c r="BL43" i="28"/>
  <c r="BJ11" i="28"/>
  <c r="BK11" i="28"/>
  <c r="BJ4" i="28"/>
  <c r="BK4" i="28"/>
  <c r="BP27" i="28"/>
  <c r="BQ27" i="28"/>
  <c r="BJ38" i="28"/>
  <c r="BK38" i="28"/>
  <c r="BJ10" i="28"/>
  <c r="BK10" i="28"/>
  <c r="AC10" i="28"/>
  <c r="BV21" i="28"/>
  <c r="BW21" i="28"/>
  <c r="AC25" i="28"/>
  <c r="AR22" i="28"/>
  <c r="BK3" i="28"/>
  <c r="BJ3" i="28"/>
  <c r="BB10" i="28"/>
  <c r="X51" i="28"/>
  <c r="BL51" i="28"/>
  <c r="BM51" i="28"/>
  <c r="AW47" i="28"/>
  <c r="X8" i="28"/>
  <c r="BN18" i="28"/>
  <c r="BO18" i="28"/>
  <c r="N39" i="28"/>
  <c r="AR8" i="28"/>
  <c r="BL18" i="28"/>
  <c r="BM18" i="28"/>
  <c r="BW9" i="28"/>
  <c r="BV9" i="28"/>
  <c r="BX27" i="28"/>
  <c r="BY27" i="28"/>
  <c r="CA21" i="28"/>
  <c r="BZ21" i="28"/>
  <c r="BH7" i="28"/>
  <c r="S29" i="28"/>
  <c r="BB45" i="28"/>
  <c r="BJ45" i="28"/>
  <c r="BK45" i="28"/>
  <c r="AM20" i="28"/>
  <c r="BW3" i="28"/>
  <c r="BV3" i="28"/>
  <c r="AC6" i="28"/>
  <c r="AR7" i="28"/>
  <c r="AM14" i="28"/>
  <c r="AM16" i="28"/>
  <c r="S19" i="28"/>
  <c r="N12" i="28"/>
  <c r="AC36" i="28"/>
  <c r="AC24" i="28"/>
  <c r="X46" i="28"/>
  <c r="N19" i="28"/>
  <c r="X16" i="28"/>
  <c r="BM31" i="28"/>
  <c r="BL31" i="28"/>
  <c r="AR28" i="28"/>
  <c r="BV41" i="28"/>
  <c r="BW41" i="28"/>
  <c r="S37" i="28"/>
  <c r="BJ27" i="28"/>
  <c r="BK27" i="28"/>
  <c r="BB50" i="28"/>
  <c r="BQ42" i="28"/>
  <c r="BP42" i="28"/>
  <c r="BL9" i="28"/>
  <c r="BM9" i="28"/>
  <c r="AM48" i="28"/>
  <c r="X30" i="28"/>
  <c r="BB5" i="28"/>
  <c r="BN37" i="28"/>
  <c r="BO37" i="28"/>
  <c r="BP44" i="28"/>
  <c r="BQ44" i="28"/>
  <c r="BJ19" i="28"/>
  <c r="BK19" i="28"/>
  <c r="BZ37" i="28"/>
  <c r="CA37" i="28"/>
  <c r="BM36" i="28"/>
  <c r="BL36" i="28"/>
  <c r="BN30" i="28"/>
  <c r="BO30" i="28"/>
  <c r="BN11" i="28"/>
  <c r="BO11" i="28"/>
  <c r="X39" i="28"/>
  <c r="BY22" i="28"/>
  <c r="BX22" i="28"/>
  <c r="BL34" i="28"/>
  <c r="BM34" i="28"/>
  <c r="BL47" i="28"/>
  <c r="BM47" i="28"/>
  <c r="BM33" i="28"/>
  <c r="BL33" i="28"/>
  <c r="AW11" i="28"/>
  <c r="S43" i="28"/>
  <c r="BK21" i="28"/>
  <c r="BJ21" i="28"/>
  <c r="BM50" i="28"/>
  <c r="BL50" i="28"/>
  <c r="AR13" i="28"/>
  <c r="X33" i="28"/>
  <c r="CA35" i="28"/>
  <c r="BZ35" i="28"/>
  <c r="AC30" i="28"/>
  <c r="X17" i="28"/>
  <c r="N28" i="28"/>
  <c r="AR34" i="28"/>
  <c r="AR48" i="28"/>
  <c r="BB25" i="28"/>
  <c r="BM13" i="28"/>
  <c r="BL13" i="28"/>
  <c r="BW17" i="28"/>
  <c r="BV17" i="28"/>
  <c r="BB18" i="28"/>
  <c r="BO40" i="28"/>
  <c r="BN40" i="28"/>
  <c r="S3" i="28"/>
  <c r="AC14" i="28"/>
  <c r="BW7" i="28"/>
  <c r="BV7" i="28"/>
  <c r="AR25" i="28"/>
  <c r="AW26" i="28"/>
  <c r="BJ51" i="28"/>
  <c r="BK51" i="28"/>
  <c r="BZ14" i="28"/>
  <c r="CA14" i="28"/>
  <c r="BJ20" i="28"/>
  <c r="BK20" i="28"/>
  <c r="S45" i="28"/>
  <c r="BN9" i="28"/>
  <c r="BO9" i="28"/>
  <c r="N46" i="28"/>
  <c r="BQ7" i="28"/>
  <c r="BP7" i="28"/>
  <c r="AW25" i="28"/>
  <c r="AW20" i="28"/>
  <c r="AM18" i="28"/>
  <c r="AC28" i="28"/>
  <c r="BN46" i="28"/>
  <c r="BO46" i="28"/>
  <c r="BM17" i="28"/>
  <c r="BL17" i="28"/>
  <c r="AC19" i="28"/>
  <c r="AM7" i="28"/>
  <c r="BO12" i="28"/>
  <c r="BN12" i="28"/>
  <c r="BB36" i="28"/>
  <c r="AM12" i="28"/>
  <c r="BN41" i="28"/>
  <c r="BO41" i="28"/>
  <c r="AC12" i="28"/>
  <c r="BP6" i="28"/>
  <c r="BQ6" i="28"/>
  <c r="BM26" i="28"/>
  <c r="BL26" i="28"/>
  <c r="BV23" i="28"/>
  <c r="BW23" i="28"/>
  <c r="BO43" i="28"/>
  <c r="BN43" i="28"/>
  <c r="BI29" i="28"/>
  <c r="G29" i="39" s="1"/>
  <c r="I2" i="28"/>
  <c r="BH5" i="28"/>
  <c r="BH4" i="28"/>
  <c r="BI44" i="28"/>
  <c r="G44" i="39" s="1"/>
  <c r="BI47" i="28"/>
  <c r="G47" i="39" s="1"/>
  <c r="BH14" i="28"/>
  <c r="BH39" i="28"/>
  <c r="I46" i="28"/>
  <c r="U31" i="8"/>
  <c r="BI15" i="28"/>
  <c r="G15" i="39" s="1"/>
  <c r="BI6" i="28"/>
  <c r="G6" i="39" s="1"/>
  <c r="U13" i="8"/>
  <c r="AT3" i="27"/>
  <c r="U32" i="8"/>
  <c r="U41" i="8"/>
  <c r="U44" i="8"/>
  <c r="U45" i="8"/>
  <c r="U27" i="8"/>
  <c r="I5" i="28"/>
  <c r="I15" i="28"/>
  <c r="U3" i="8"/>
  <c r="BI3" i="28"/>
  <c r="G3" i="39" s="1"/>
  <c r="I31" i="28"/>
  <c r="BH49" i="28"/>
  <c r="BI17" i="28"/>
  <c r="G17" i="39" s="1"/>
  <c r="BH38" i="28"/>
  <c r="BI50" i="28"/>
  <c r="G50" i="39" s="1"/>
  <c r="BH23" i="28"/>
  <c r="BI11" i="28"/>
  <c r="G11" i="39" s="1"/>
  <c r="BI48" i="28"/>
  <c r="G48" i="39" s="1"/>
  <c r="BI28" i="28"/>
  <c r="G28" i="39" s="1"/>
  <c r="U34" i="8"/>
  <c r="U4" i="8"/>
  <c r="AS42" i="27"/>
  <c r="AS27" i="27"/>
  <c r="AS35" i="27"/>
  <c r="U43" i="8"/>
  <c r="AS7" i="27"/>
  <c r="U26" i="8"/>
  <c r="AS8" i="27"/>
  <c r="U33" i="8"/>
  <c r="U51" i="8"/>
  <c r="U20" i="8"/>
  <c r="U7" i="8"/>
  <c r="U6" i="8"/>
  <c r="U16" i="8"/>
  <c r="U46" i="8"/>
  <c r="U17" i="8"/>
  <c r="U49" i="8"/>
  <c r="AS41" i="27"/>
  <c r="U18" i="8"/>
  <c r="AS33" i="27"/>
  <c r="U5" i="8"/>
  <c r="U29" i="8"/>
  <c r="U15" i="8"/>
  <c r="AS6" i="27"/>
  <c r="U30" i="8"/>
  <c r="U9" i="8"/>
  <c r="U47" i="8"/>
  <c r="AS50" i="27"/>
  <c r="U42" i="8"/>
  <c r="U35" i="8"/>
  <c r="U28" i="8"/>
  <c r="AS26" i="27"/>
  <c r="AS31" i="27"/>
  <c r="U24" i="8"/>
  <c r="U25" i="8"/>
  <c r="AS14" i="27"/>
  <c r="U12" i="8"/>
  <c r="U11" i="8"/>
  <c r="U19" i="8"/>
  <c r="AS9" i="27"/>
  <c r="U21" i="8"/>
  <c r="U23" i="8"/>
  <c r="AS13" i="27"/>
  <c r="U38" i="8"/>
  <c r="AS25" i="27"/>
  <c r="U14" i="8"/>
  <c r="U39" i="8"/>
  <c r="AS47" i="27"/>
  <c r="AS18" i="27"/>
  <c r="AS46" i="27"/>
  <c r="AS15" i="27"/>
  <c r="U40" i="8"/>
  <c r="AS11" i="27"/>
  <c r="U48" i="8"/>
  <c r="AS49" i="27"/>
  <c r="AS20" i="27"/>
  <c r="U8" i="8"/>
  <c r="AS48" i="27"/>
  <c r="U36" i="8"/>
  <c r="AS39" i="27"/>
  <c r="AS38" i="27"/>
  <c r="U10" i="8"/>
  <c r="AS22" i="27"/>
  <c r="U22" i="8"/>
  <c r="AS19" i="27"/>
  <c r="U37" i="8"/>
  <c r="U2" i="8"/>
  <c r="U50" i="8"/>
  <c r="BH35" i="28"/>
  <c r="BI45" i="28"/>
  <c r="G45" i="39" s="1"/>
  <c r="BI27" i="28"/>
  <c r="G27" i="39" s="1"/>
  <c r="BH8" i="28"/>
  <c r="BI41" i="28"/>
  <c r="G41" i="39" s="1"/>
  <c r="BH10" i="28"/>
  <c r="BI43" i="28"/>
  <c r="G43" i="39" s="1"/>
  <c r="BI33" i="28"/>
  <c r="G33" i="39" s="1"/>
  <c r="BH25" i="28"/>
  <c r="BI32" i="28"/>
  <c r="G32" i="39" s="1"/>
  <c r="AS44" i="27"/>
  <c r="AS23" i="27"/>
  <c r="AT38" i="27"/>
  <c r="AS45" i="27"/>
  <c r="AS16" i="27"/>
  <c r="AS12" i="27"/>
  <c r="AS37" i="27"/>
  <c r="AT52" i="27"/>
  <c r="AS40" i="27"/>
  <c r="AS28" i="27"/>
  <c r="AS30" i="27"/>
  <c r="AS10" i="27"/>
  <c r="AS43" i="27"/>
  <c r="AS24" i="27"/>
  <c r="AT31" i="27"/>
  <c r="AT37" i="27"/>
  <c r="BL51" i="26" l="1"/>
  <c r="AT24" i="27"/>
  <c r="AT8" i="27"/>
  <c r="BM33" i="26"/>
  <c r="BL28" i="26"/>
  <c r="BM3" i="26"/>
  <c r="AT41" i="27"/>
  <c r="AS32" i="27"/>
  <c r="F47" i="31"/>
  <c r="D61" i="31"/>
  <c r="B61" i="31" s="1"/>
  <c r="D109" i="31" s="1"/>
  <c r="B109" i="31" s="1"/>
  <c r="BG4" i="28"/>
  <c r="AT20" i="27"/>
  <c r="AT40" i="27"/>
  <c r="D57" i="31"/>
  <c r="B57" i="31" s="1"/>
  <c r="J81" i="31" s="1"/>
  <c r="D81" i="31"/>
  <c r="AT45" i="27"/>
  <c r="AT33" i="27"/>
  <c r="AT14" i="27"/>
  <c r="AT22" i="27"/>
  <c r="AT23" i="27"/>
  <c r="AT39" i="27"/>
  <c r="AT42" i="27"/>
  <c r="AT50" i="27"/>
  <c r="AT47" i="27"/>
  <c r="AT32" i="27"/>
  <c r="AT13" i="27"/>
  <c r="H47" i="31"/>
  <c r="D65" i="31"/>
  <c r="B65" i="31" s="1"/>
  <c r="J47" i="31"/>
  <c r="D69" i="31"/>
  <c r="AS3" i="27"/>
  <c r="AF2" i="9" s="1"/>
  <c r="AV23" i="27"/>
  <c r="AV24" i="27"/>
  <c r="AV19" i="27"/>
  <c r="AU46" i="27"/>
  <c r="AV52" i="27"/>
  <c r="AV5" i="27"/>
  <c r="AU22" i="27"/>
  <c r="AV42" i="27"/>
  <c r="AU17" i="27"/>
  <c r="AU42" i="27"/>
  <c r="AV30" i="27"/>
  <c r="AV48" i="27"/>
  <c r="AU16" i="27"/>
  <c r="AU10" i="27"/>
  <c r="AV7" i="27"/>
  <c r="AV10" i="27"/>
  <c r="AV34" i="27"/>
  <c r="AU37" i="27"/>
  <c r="AU49" i="27"/>
  <c r="AU29" i="27"/>
  <c r="AU45" i="27"/>
  <c r="AU44" i="27"/>
  <c r="AV31" i="27"/>
  <c r="AU34" i="27"/>
  <c r="O20" i="9"/>
  <c r="AS21" i="27"/>
  <c r="AV51" i="27"/>
  <c r="AV37" i="27"/>
  <c r="AV49" i="27"/>
  <c r="AU11" i="27"/>
  <c r="AU8" i="27"/>
  <c r="AU31" i="27"/>
  <c r="AV6" i="27"/>
  <c r="AU27" i="27"/>
  <c r="AU9" i="27"/>
  <c r="AU12" i="27"/>
  <c r="AV11" i="27"/>
  <c r="AU41" i="27"/>
  <c r="AV8" i="27"/>
  <c r="AU26" i="27"/>
  <c r="AU6" i="27"/>
  <c r="AV27" i="27"/>
  <c r="AV17" i="27"/>
  <c r="AU19" i="27"/>
  <c r="AU5" i="27"/>
  <c r="AV22" i="27"/>
  <c r="AV16" i="27"/>
  <c r="AU7" i="27"/>
  <c r="AV20" i="27"/>
  <c r="AU30" i="27"/>
  <c r="AU20" i="27"/>
  <c r="AV29" i="27"/>
  <c r="AV45" i="27"/>
  <c r="AV44" i="27"/>
  <c r="AU25" i="27"/>
  <c r="AU51" i="27"/>
  <c r="AV25" i="27"/>
  <c r="AV9" i="27"/>
  <c r="AV12" i="27"/>
  <c r="AU36" i="27"/>
  <c r="AV41" i="27"/>
  <c r="AV33" i="27"/>
  <c r="AV26" i="27"/>
  <c r="AU40" i="27"/>
  <c r="AV32" i="27"/>
  <c r="AV4" i="27"/>
  <c r="AV36" i="27"/>
  <c r="AV18" i="27"/>
  <c r="AU33" i="27"/>
  <c r="AV14" i="27"/>
  <c r="AV40" i="27"/>
  <c r="AU32" i="27"/>
  <c r="AU4" i="27"/>
  <c r="AV28" i="27"/>
  <c r="AU18" i="27"/>
  <c r="AF17" i="9" s="1"/>
  <c r="AU14" i="27"/>
  <c r="AV15" i="27"/>
  <c r="O33" i="9"/>
  <c r="AF33" i="28" s="1"/>
  <c r="AG33" i="28" s="1"/>
  <c r="AS34" i="27"/>
  <c r="O4" i="9"/>
  <c r="AF4" i="28" s="1"/>
  <c r="AG4" i="28" s="1"/>
  <c r="AS5" i="27"/>
  <c r="AU38" i="27"/>
  <c r="AU39" i="27"/>
  <c r="AU28" i="27"/>
  <c r="AV47" i="27"/>
  <c r="AU35" i="27"/>
  <c r="AU15" i="27"/>
  <c r="O35" i="9"/>
  <c r="AD35" i="28" s="1"/>
  <c r="AE35" i="28" s="1"/>
  <c r="AS36" i="27"/>
  <c r="AV38" i="27"/>
  <c r="AV39" i="27"/>
  <c r="AU13" i="27"/>
  <c r="AU47" i="27"/>
  <c r="AV35" i="27"/>
  <c r="AV43" i="27"/>
  <c r="AU50" i="27"/>
  <c r="AU21" i="27"/>
  <c r="O3" i="9"/>
  <c r="AS4" i="27"/>
  <c r="AU23" i="27"/>
  <c r="AU24" i="27"/>
  <c r="AV13" i="27"/>
  <c r="AV46" i="27"/>
  <c r="AU52" i="27"/>
  <c r="AU43" i="27"/>
  <c r="AV50" i="27"/>
  <c r="AV21" i="27"/>
  <c r="AU48" i="27"/>
  <c r="O50" i="9"/>
  <c r="AD50" i="28" s="1"/>
  <c r="AE50" i="28" s="1"/>
  <c r="O38" i="9"/>
  <c r="AD38" i="28" s="1"/>
  <c r="AE38" i="28" s="1"/>
  <c r="O8" i="9"/>
  <c r="AF8" i="28" s="1"/>
  <c r="AG8" i="28" s="1"/>
  <c r="O49" i="9"/>
  <c r="AF49" i="28" s="1"/>
  <c r="AG49" i="28" s="1"/>
  <c r="O32" i="9"/>
  <c r="O31" i="9"/>
  <c r="AD31" i="28" s="1"/>
  <c r="AE31" i="28" s="1"/>
  <c r="O2" i="9"/>
  <c r="O17" i="9"/>
  <c r="AD17" i="28" s="1"/>
  <c r="AE17" i="28" s="1"/>
  <c r="O43" i="9"/>
  <c r="O47" i="9"/>
  <c r="AF47" i="28" s="1"/>
  <c r="AG47" i="28" s="1"/>
  <c r="O7" i="9"/>
  <c r="AD7" i="28" s="1"/>
  <c r="AE7" i="28" s="1"/>
  <c r="O14" i="9"/>
  <c r="AF14" i="28" s="1"/>
  <c r="AG14" i="28" s="1"/>
  <c r="O28" i="9"/>
  <c r="O40" i="9"/>
  <c r="AF40" i="28" s="1"/>
  <c r="AG40" i="28" s="1"/>
  <c r="O39" i="9"/>
  <c r="O48" i="9"/>
  <c r="AF48" i="28" s="1"/>
  <c r="AG48" i="28" s="1"/>
  <c r="O24" i="9"/>
  <c r="AF24" i="28" s="1"/>
  <c r="AG24" i="28" s="1"/>
  <c r="O5" i="9"/>
  <c r="AD5" i="28" s="1"/>
  <c r="AE5" i="28" s="1"/>
  <c r="O44" i="9"/>
  <c r="O21" i="9"/>
  <c r="AF21" i="28" s="1"/>
  <c r="AG21" i="28" s="1"/>
  <c r="O11" i="9"/>
  <c r="O15" i="9"/>
  <c r="O27" i="9"/>
  <c r="O41" i="9"/>
  <c r="AF41" i="28" s="1"/>
  <c r="AG41" i="28" s="1"/>
  <c r="O23" i="9"/>
  <c r="O46" i="9"/>
  <c r="AD46" i="28" s="1"/>
  <c r="AE46" i="28" s="1"/>
  <c r="O16" i="9"/>
  <c r="AF16" i="28" s="1"/>
  <c r="AG16" i="28" s="1"/>
  <c r="O13" i="9"/>
  <c r="AD13" i="28" s="1"/>
  <c r="AE13" i="28" s="1"/>
  <c r="O19" i="9"/>
  <c r="AF19" i="28" s="1"/>
  <c r="AG19" i="28" s="1"/>
  <c r="O6" i="9"/>
  <c r="AD6" i="28" s="1"/>
  <c r="AE6" i="28" s="1"/>
  <c r="O42" i="9"/>
  <c r="O30" i="9"/>
  <c r="AD30" i="28" s="1"/>
  <c r="AE30" i="28" s="1"/>
  <c r="O9" i="9"/>
  <c r="O36" i="9"/>
  <c r="O51" i="9"/>
  <c r="O12" i="9"/>
  <c r="AF12" i="28" s="1"/>
  <c r="AG12" i="28" s="1"/>
  <c r="O25" i="9"/>
  <c r="AF25" i="28" s="1"/>
  <c r="AG25" i="28" s="1"/>
  <c r="O34" i="9"/>
  <c r="O29" i="9"/>
  <c r="O22" i="9"/>
  <c r="O45" i="9"/>
  <c r="AF45" i="28" s="1"/>
  <c r="AG45" i="28" s="1"/>
  <c r="O18" i="9"/>
  <c r="AD18" i="28" s="1"/>
  <c r="AE18" i="28" s="1"/>
  <c r="O37" i="9"/>
  <c r="AF37" i="28" s="1"/>
  <c r="AG37" i="28" s="1"/>
  <c r="O10" i="9"/>
  <c r="AF10" i="28" s="1"/>
  <c r="AG10" i="28" s="1"/>
  <c r="O26" i="9"/>
  <c r="AD26" i="28" s="1"/>
  <c r="AE26" i="28" s="1"/>
  <c r="B81" i="31" l="1"/>
  <c r="D97" i="31" s="1"/>
  <c r="D113" i="31"/>
  <c r="B113" i="31" s="1"/>
  <c r="H121" i="31" s="1"/>
  <c r="J89" i="31"/>
  <c r="B89" i="31" s="1"/>
  <c r="AD34" i="28"/>
  <c r="AE34" i="28" s="1"/>
  <c r="AF46" i="9"/>
  <c r="F73" i="31"/>
  <c r="J85" i="31" s="1"/>
  <c r="B85" i="31" s="1"/>
  <c r="D105" i="31"/>
  <c r="B105" i="31" s="1"/>
  <c r="D121" i="31" s="1"/>
  <c r="D73" i="31"/>
  <c r="AF32" i="9"/>
  <c r="H73" i="31"/>
  <c r="AF31" i="9"/>
  <c r="AF33" i="9"/>
  <c r="P35" i="9"/>
  <c r="BS35" i="28" s="1"/>
  <c r="P2" i="9"/>
  <c r="BS2" i="28" s="1"/>
  <c r="B47" i="31"/>
  <c r="B69" i="31"/>
  <c r="J93" i="31" s="1"/>
  <c r="B93" i="31" s="1"/>
  <c r="P45" i="9"/>
  <c r="BR45" i="28" s="1"/>
  <c r="AD33" i="28"/>
  <c r="P16" i="9"/>
  <c r="BS16" i="28" s="1"/>
  <c r="P4" i="9"/>
  <c r="BS4" i="28" s="1"/>
  <c r="AF41" i="9"/>
  <c r="P33" i="9"/>
  <c r="BS33" i="28" s="1"/>
  <c r="P31" i="9"/>
  <c r="BS31" i="28" s="1"/>
  <c r="AF10" i="9"/>
  <c r="AF13" i="9"/>
  <c r="P10" i="9"/>
  <c r="BS10" i="28" s="1"/>
  <c r="AF6" i="9"/>
  <c r="P39" i="9"/>
  <c r="BS39" i="28" s="1"/>
  <c r="AF45" i="9"/>
  <c r="AF7" i="9"/>
  <c r="AF30" i="9"/>
  <c r="AF34" i="9"/>
  <c r="AF3" i="9"/>
  <c r="AF21" i="9"/>
  <c r="P14" i="9"/>
  <c r="BS14" i="28" s="1"/>
  <c r="P25" i="9"/>
  <c r="BR25" i="28" s="1"/>
  <c r="P12" i="9"/>
  <c r="BR12" i="28" s="1"/>
  <c r="P19" i="9"/>
  <c r="BR19" i="28" s="1"/>
  <c r="AF50" i="9"/>
  <c r="P15" i="9"/>
  <c r="BR15" i="28" s="1"/>
  <c r="AF27" i="9"/>
  <c r="AF15" i="9"/>
  <c r="AF38" i="9"/>
  <c r="P51" i="9"/>
  <c r="BS51" i="28" s="1"/>
  <c r="AF35" i="28"/>
  <c r="AD4" i="28"/>
  <c r="AF47" i="9"/>
  <c r="AF9" i="9"/>
  <c r="P40" i="9"/>
  <c r="BR40" i="28" s="1"/>
  <c r="AF5" i="9"/>
  <c r="AF48" i="9"/>
  <c r="AF20" i="9"/>
  <c r="AF36" i="9"/>
  <c r="AF2" i="28"/>
  <c r="AG2" i="28" s="1"/>
  <c r="AD2" i="28"/>
  <c r="AE2" i="28" s="1"/>
  <c r="AF4" i="9"/>
  <c r="AF44" i="9"/>
  <c r="P13" i="9"/>
  <c r="BS13" i="28" s="1"/>
  <c r="P21" i="9"/>
  <c r="BR21" i="28" s="1"/>
  <c r="P47" i="9"/>
  <c r="BS47" i="28" s="1"/>
  <c r="P11" i="9"/>
  <c r="BR11" i="28" s="1"/>
  <c r="P44" i="9"/>
  <c r="BR44" i="28" s="1"/>
  <c r="P17" i="9"/>
  <c r="BR17" i="28" s="1"/>
  <c r="P8" i="9"/>
  <c r="BS8" i="28" s="1"/>
  <c r="P20" i="9"/>
  <c r="BR20" i="28" s="1"/>
  <c r="P29" i="9"/>
  <c r="BR29" i="28" s="1"/>
  <c r="P42" i="9"/>
  <c r="BR42" i="28" s="1"/>
  <c r="P38" i="9"/>
  <c r="BR38" i="28" s="1"/>
  <c r="P49" i="9"/>
  <c r="BR49" i="28" s="1"/>
  <c r="P3" i="9"/>
  <c r="BR3" i="28" s="1"/>
  <c r="P5" i="9"/>
  <c r="BS5" i="28" s="1"/>
  <c r="P7" i="9"/>
  <c r="BS7" i="28" s="1"/>
  <c r="P32" i="9"/>
  <c r="BR32" i="28" s="1"/>
  <c r="P41" i="9"/>
  <c r="BS41" i="28" s="1"/>
  <c r="P24" i="9"/>
  <c r="BS24" i="28" s="1"/>
  <c r="P26" i="9"/>
  <c r="BR26" i="28" s="1"/>
  <c r="P43" i="9"/>
  <c r="BS43" i="28" s="1"/>
  <c r="P6" i="9"/>
  <c r="BR6" i="28" s="1"/>
  <c r="P27" i="9"/>
  <c r="BR27" i="28" s="1"/>
  <c r="P48" i="9"/>
  <c r="BR48" i="28" s="1"/>
  <c r="P50" i="9"/>
  <c r="BR50" i="28" s="1"/>
  <c r="P36" i="9"/>
  <c r="BS36" i="28" s="1"/>
  <c r="P23" i="9"/>
  <c r="BS23" i="28" s="1"/>
  <c r="P30" i="9"/>
  <c r="BS30" i="28" s="1"/>
  <c r="P28" i="9"/>
  <c r="BR28" i="28" s="1"/>
  <c r="AF8" i="9"/>
  <c r="P18" i="9"/>
  <c r="BS18" i="28" s="1"/>
  <c r="P22" i="9"/>
  <c r="BS22" i="28" s="1"/>
  <c r="P9" i="9"/>
  <c r="BS9" i="28" s="1"/>
  <c r="P46" i="9"/>
  <c r="BS46" i="28" s="1"/>
  <c r="AF25" i="9"/>
  <c r="P34" i="9"/>
  <c r="P37" i="9"/>
  <c r="BS37" i="28" s="1"/>
  <c r="AF22" i="9"/>
  <c r="AF18" i="9"/>
  <c r="AD40" i="28"/>
  <c r="AF49" i="9"/>
  <c r="AF35" i="9"/>
  <c r="AF26" i="28"/>
  <c r="AF23" i="9"/>
  <c r="AD12" i="28"/>
  <c r="AD14" i="28"/>
  <c r="AF40" i="9"/>
  <c r="AF14" i="9"/>
  <c r="AD24" i="28"/>
  <c r="AD47" i="28"/>
  <c r="AF12" i="9"/>
  <c r="AF24" i="9"/>
  <c r="AD16" i="28"/>
  <c r="AD48" i="28"/>
  <c r="AF39" i="9"/>
  <c r="AF5" i="28"/>
  <c r="AF18" i="28"/>
  <c r="AD49" i="28"/>
  <c r="AD8" i="28"/>
  <c r="AF26" i="9"/>
  <c r="AF34" i="28"/>
  <c r="AG34" i="28" s="1"/>
  <c r="AF28" i="9"/>
  <c r="AD25" i="28"/>
  <c r="AF50" i="28"/>
  <c r="AF19" i="9"/>
  <c r="AF6" i="28"/>
  <c r="AF38" i="28"/>
  <c r="AD10" i="28"/>
  <c r="AF42" i="9"/>
  <c r="AF46" i="28"/>
  <c r="AD19" i="28"/>
  <c r="AF37" i="9"/>
  <c r="AF51" i="9"/>
  <c r="AF43" i="9"/>
  <c r="AF7" i="28"/>
  <c r="AF29" i="9"/>
  <c r="AF16" i="9"/>
  <c r="AF11" i="9"/>
  <c r="AF17" i="28"/>
  <c r="AD21" i="28"/>
  <c r="AD41" i="28"/>
  <c r="AF30" i="28"/>
  <c r="AF31" i="28"/>
  <c r="AF13" i="28"/>
  <c r="AD37" i="28"/>
  <c r="AD45" i="28"/>
  <c r="AF32" i="28"/>
  <c r="AG32" i="28" s="1"/>
  <c r="AD32" i="28"/>
  <c r="AE32" i="28" s="1"/>
  <c r="AF9" i="28"/>
  <c r="AG9" i="28" s="1"/>
  <c r="AD9" i="28"/>
  <c r="AE9" i="28" s="1"/>
  <c r="AF3" i="28"/>
  <c r="AG3" i="28" s="1"/>
  <c r="AD3" i="28"/>
  <c r="AE3" i="28" s="1"/>
  <c r="AF36" i="28"/>
  <c r="AG36" i="28" s="1"/>
  <c r="AD36" i="28"/>
  <c r="AE36" i="28" s="1"/>
  <c r="AF42" i="28"/>
  <c r="AG42" i="28" s="1"/>
  <c r="AD42" i="28"/>
  <c r="AE42" i="28" s="1"/>
  <c r="AD43" i="28"/>
  <c r="AE43" i="28" s="1"/>
  <c r="AF43" i="28"/>
  <c r="AG43" i="28" s="1"/>
  <c r="AF20" i="28"/>
  <c r="AG20" i="28" s="1"/>
  <c r="AD20" i="28"/>
  <c r="AE20" i="28" s="1"/>
  <c r="AF51" i="28"/>
  <c r="AG51" i="28" s="1"/>
  <c r="AD51" i="28"/>
  <c r="AE51" i="28" s="1"/>
  <c r="AD29" i="28"/>
  <c r="AE29" i="28" s="1"/>
  <c r="AF29" i="28"/>
  <c r="AG29" i="28" s="1"/>
  <c r="AD28" i="28"/>
  <c r="AE28" i="28" s="1"/>
  <c r="AF28" i="28"/>
  <c r="AG28" i="28" s="1"/>
  <c r="AF44" i="28"/>
  <c r="AG44" i="28" s="1"/>
  <c r="AD44" i="28"/>
  <c r="AE44" i="28" s="1"/>
  <c r="AF27" i="28"/>
  <c r="AG27" i="28" s="1"/>
  <c r="AD27" i="28"/>
  <c r="AE27" i="28" s="1"/>
  <c r="AD39" i="28"/>
  <c r="AE39" i="28" s="1"/>
  <c r="AF39" i="28"/>
  <c r="AG39" i="28" s="1"/>
  <c r="AD23" i="28"/>
  <c r="AE23" i="28" s="1"/>
  <c r="AF23" i="28"/>
  <c r="AG23" i="28" s="1"/>
  <c r="AD11" i="28"/>
  <c r="AE11" i="28" s="1"/>
  <c r="AF11" i="28"/>
  <c r="AG11" i="28" s="1"/>
  <c r="AD15" i="28"/>
  <c r="AE15" i="28" s="1"/>
  <c r="AF15" i="28"/>
  <c r="AG15" i="28" s="1"/>
  <c r="AF22" i="28"/>
  <c r="AG22" i="28" s="1"/>
  <c r="AD22" i="28"/>
  <c r="AE22" i="28" s="1"/>
  <c r="F121" i="31"/>
  <c r="AG5" i="28" l="1"/>
  <c r="AH5" i="28" s="1"/>
  <c r="AE4" i="28"/>
  <c r="AH4" i="28" s="1"/>
  <c r="AG6" i="28"/>
  <c r="AH6" i="28" s="1"/>
  <c r="AE21" i="28"/>
  <c r="AH21" i="28" s="1"/>
  <c r="AE16" i="28"/>
  <c r="AH16" i="28" s="1"/>
  <c r="AG7" i="28"/>
  <c r="AH7" i="28" s="1"/>
  <c r="AE14" i="28"/>
  <c r="AH14" i="28" s="1"/>
  <c r="AG17" i="28"/>
  <c r="AH17" i="28" s="1"/>
  <c r="AE8" i="28"/>
  <c r="AH8" i="28" s="1"/>
  <c r="AE12" i="28"/>
  <c r="AH12" i="28" s="1"/>
  <c r="AG13" i="28"/>
  <c r="AH13" i="28" s="1"/>
  <c r="AE10" i="28"/>
  <c r="AH10" i="28" s="1"/>
  <c r="AE19" i="28"/>
  <c r="AH19" i="28" s="1"/>
  <c r="AG18" i="28"/>
  <c r="AH18" i="28" s="1"/>
  <c r="AG31" i="28"/>
  <c r="AH31" i="28" s="1"/>
  <c r="AE48" i="28"/>
  <c r="AH48" i="28" s="1"/>
  <c r="AE41" i="28"/>
  <c r="AH41" i="28" s="1"/>
  <c r="AE24" i="28"/>
  <c r="AH24" i="28" s="1"/>
  <c r="AE25" i="28"/>
  <c r="AH25" i="28" s="1"/>
  <c r="AE33" i="28"/>
  <c r="AH33" i="28" s="1"/>
  <c r="AG38" i="28"/>
  <c r="AH38" i="28" s="1"/>
  <c r="AG46" i="28"/>
  <c r="AH46" i="28" s="1"/>
  <c r="AE45" i="28"/>
  <c r="AH45" i="28" s="1"/>
  <c r="AG30" i="28"/>
  <c r="AH30" i="28" s="1"/>
  <c r="AE40" i="28"/>
  <c r="AH40" i="28" s="1"/>
  <c r="AG50" i="28"/>
  <c r="AH50" i="28" s="1"/>
  <c r="AE47" i="28"/>
  <c r="AH47" i="28" s="1"/>
  <c r="AG35" i="28"/>
  <c r="AH35" i="28" s="1"/>
  <c r="AE49" i="28"/>
  <c r="AH49" i="28" s="1"/>
  <c r="AE37" i="28"/>
  <c r="AH37" i="28" s="1"/>
  <c r="AG26" i="28"/>
  <c r="H97" i="31"/>
  <c r="F97" i="31"/>
  <c r="BR34" i="28"/>
  <c r="BR35" i="28"/>
  <c r="BR4" i="28"/>
  <c r="BS45" i="28"/>
  <c r="AF52" i="28"/>
  <c r="AD52" i="28"/>
  <c r="BR2" i="28"/>
  <c r="BR16" i="28"/>
  <c r="J73" i="31"/>
  <c r="B73" i="31" s="1"/>
  <c r="D117" i="31"/>
  <c r="BS12" i="28"/>
  <c r="BR51" i="28"/>
  <c r="BR39" i="28"/>
  <c r="BR43" i="28"/>
  <c r="BS17" i="28"/>
  <c r="BS25" i="28"/>
  <c r="BR10" i="28"/>
  <c r="BR41" i="28"/>
  <c r="BR7" i="28"/>
  <c r="BS19" i="28"/>
  <c r="BS15" i="28"/>
  <c r="BR14" i="28"/>
  <c r="BS6" i="28"/>
  <c r="BS50" i="28"/>
  <c r="BR23" i="28"/>
  <c r="BS11" i="28"/>
  <c r="BS44" i="28"/>
  <c r="BR24" i="28"/>
  <c r="BS40" i="28"/>
  <c r="BR8" i="28"/>
  <c r="BS21" i="28"/>
  <c r="BS29" i="28"/>
  <c r="AH51" i="28"/>
  <c r="AH3" i="28"/>
  <c r="AH42" i="28"/>
  <c r="AH27" i="28"/>
  <c r="AH36" i="28"/>
  <c r="AH20" i="28"/>
  <c r="AH9" i="28"/>
  <c r="AH32" i="28"/>
  <c r="AH22" i="28"/>
  <c r="AH44" i="28"/>
  <c r="AH23" i="28"/>
  <c r="AH29" i="28"/>
  <c r="AH39" i="28"/>
  <c r="AH15" i="28"/>
  <c r="AH11" i="28"/>
  <c r="AH28" i="28"/>
  <c r="AH43" i="28"/>
  <c r="BS38" i="28"/>
  <c r="BS48" i="28"/>
  <c r="BS28" i="28"/>
  <c r="BR5" i="28"/>
  <c r="BS26" i="28"/>
  <c r="BS49" i="28"/>
  <c r="BS27" i="28"/>
  <c r="BS42" i="28"/>
  <c r="BS34" i="28"/>
  <c r="BR18" i="28"/>
  <c r="BR22" i="28"/>
  <c r="BR46" i="28"/>
  <c r="BR37" i="28"/>
  <c r="BR36" i="28"/>
  <c r="BR30" i="28"/>
  <c r="BR33" i="28"/>
  <c r="BR47" i="28"/>
  <c r="BR31" i="28"/>
  <c r="BR13" i="28"/>
  <c r="BS20" i="28"/>
  <c r="BR9" i="28"/>
  <c r="BS32" i="28"/>
  <c r="BS3" i="28"/>
  <c r="D131" i="31" l="1"/>
  <c r="B131" i="31" s="1"/>
  <c r="AG52" i="28"/>
  <c r="AG53" i="28" s="1"/>
  <c r="AH26" i="28"/>
  <c r="AE52" i="28"/>
  <c r="AE53" i="28" s="1"/>
  <c r="AH34" i="28"/>
  <c r="AH2" i="28"/>
  <c r="D135" i="31"/>
  <c r="B135" i="31" s="1"/>
  <c r="D143" i="31" s="1"/>
  <c r="B143" i="31" s="1"/>
  <c r="B117" i="31"/>
  <c r="J121" i="31" s="1"/>
  <c r="B121" i="31" s="1"/>
  <c r="J97" i="31"/>
  <c r="B97" i="31" s="1"/>
  <c r="D139" i="31"/>
  <c r="B139" i="31" s="1"/>
  <c r="X3" i="5"/>
  <c r="X4" i="5"/>
  <c r="X5" i="5"/>
  <c r="X6" i="5"/>
  <c r="X7" i="5"/>
  <c r="X8" i="5"/>
  <c r="X9" i="5"/>
  <c r="X10" i="5"/>
  <c r="X11" i="5"/>
  <c r="X12" i="5"/>
  <c r="X13" i="5"/>
  <c r="X14" i="5"/>
  <c r="X15" i="5"/>
  <c r="X16" i="5"/>
  <c r="X17" i="5"/>
  <c r="X18" i="5"/>
  <c r="X19" i="5"/>
  <c r="X20" i="5"/>
  <c r="X21" i="5"/>
  <c r="X22" i="5"/>
  <c r="X23" i="5"/>
  <c r="X24" i="5"/>
  <c r="X25" i="5"/>
  <c r="X26" i="5"/>
  <c r="X27" i="5"/>
  <c r="X28" i="5"/>
  <c r="X29" i="5"/>
  <c r="X30" i="5"/>
  <c r="X31" i="5"/>
  <c r="X32" i="5"/>
  <c r="X33" i="5"/>
  <c r="X34" i="5"/>
  <c r="X35" i="5"/>
  <c r="X36" i="5"/>
  <c r="X37" i="5"/>
  <c r="X38" i="5"/>
  <c r="X39" i="5"/>
  <c r="X40" i="5"/>
  <c r="X41" i="5"/>
  <c r="X42" i="5"/>
  <c r="X43" i="5"/>
  <c r="X44" i="5"/>
  <c r="X45" i="5"/>
  <c r="X46" i="5"/>
  <c r="X47" i="5"/>
  <c r="X48" i="5"/>
  <c r="X49" i="5"/>
  <c r="X50" i="5"/>
  <c r="X51" i="5"/>
  <c r="X2" i="5"/>
  <c r="D155" i="31" l="1"/>
  <c r="B155" i="31" s="1"/>
  <c r="D159" i="31"/>
  <c r="H147" i="31"/>
  <c r="D147" i="31"/>
  <c r="B147" i="3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<sst xmlns="http://schemas.openxmlformats.org/spreadsheetml/2006/main" count="4707" uniqueCount="1108">
  <si>
    <t>Food is Medicine (FIM) Economic Analysis Modeling Tool</t>
  </si>
  <si>
    <t>Rockefeller Foundation</t>
  </si>
  <si>
    <r>
      <rPr>
        <b/>
        <sz val="12"/>
        <color theme="1"/>
        <rFont val="Lato"/>
        <family val="2"/>
      </rPr>
      <t>Last modified:</t>
    </r>
    <r>
      <rPr>
        <sz val="12"/>
        <color theme="1"/>
        <rFont val="Lato"/>
        <family val="2"/>
      </rPr>
      <t xml:space="preserve"> 01/23/2026</t>
    </r>
  </si>
  <si>
    <r>
      <rPr>
        <b/>
        <sz val="12"/>
        <color theme="1"/>
        <rFont val="Lato"/>
        <family val="2"/>
      </rPr>
      <t>Status:</t>
    </r>
    <r>
      <rPr>
        <sz val="12"/>
        <color theme="1"/>
        <rFont val="Lato"/>
        <family val="2"/>
      </rPr>
      <t xml:space="preserve"> PUBLISHED</t>
    </r>
  </si>
  <si>
    <t>OVERVIEW</t>
  </si>
  <si>
    <t xml:space="preserve">This model estimates the state-level economic impacts of locally sourced Food is Medicine (FIM) programs, focusing on how increased demand for fresh, healthy foods affects agricultural producers, food supply chains, and regional economies. It integrates demand-side drivers (insurance coverage, condition prevalence, and program uptake) with supply-side capacity (state agricultural production and availability of small and medium family farms).
By quantifying how much of FIM program demand can be met by in-state producers, the model measures the economic value generated when FIM programs intentionally prioritize local sourcing, including impacts on farm revenue, jobs, wages, and state GDP.
This model should be reviewed in conjunction with the accompanying report, linked here: https://www.rockefellerfoundation.org/reports/from-farm-to-fim-the-economic-impact-of-local-food-is-medicine/ </t>
  </si>
  <si>
    <t>USE CASE</t>
  </si>
  <si>
    <t>The model is designed to support policy, planning, and investment decisions related to FIM expansion. It can be used to:
&gt; Understand the potential total addressable market for FIM interventions in each state, based on varying definitions for relevant populations
&gt; Estimate the current and future economic value of FIM programs
&gt; Estimate the economic return on locally sourced FIM interventions using quantitative indicators (e.g., jobs created, wages generated, farm revenue, GDP contributions)</t>
  </si>
  <si>
    <t>GUIDANCE</t>
  </si>
  <si>
    <r>
      <rPr>
        <b/>
        <sz val="12"/>
        <color rgb="FF000000"/>
        <rFont val="Lato"/>
      </rPr>
      <t xml:space="preserve">This file consists of 20 sheets. The first five sheets provide an overview of the model, the model's logic, and key outputs. The remaining sheets should not be edited, without understanding the underlying logic and data.
</t>
    </r>
    <r>
      <rPr>
        <sz val="12"/>
        <color rgb="FF000000"/>
        <rFont val="Lato"/>
      </rPr>
      <t xml:space="preserve">
Below is a high-level description of each tab, along with specific instructions on how users can interact with them.</t>
    </r>
  </si>
  <si>
    <t>Tab Name</t>
  </si>
  <si>
    <t>Description</t>
  </si>
  <si>
    <t>Instructions</t>
  </si>
  <si>
    <t>Overview</t>
  </si>
  <si>
    <t>Contains important documentation for the model and should be read before interacting with this model.</t>
  </si>
  <si>
    <t>Do not edit this sheet</t>
  </si>
  <si>
    <t>Definitions</t>
  </si>
  <si>
    <t>Defines key terms used throughout the model.</t>
  </si>
  <si>
    <t>Assumptions</t>
  </si>
  <si>
    <t>Lays out the key assumptions made in the model, with rationales and limitations described for each assumption.</t>
  </si>
  <si>
    <t>Modeling logic</t>
  </si>
  <si>
    <r>
      <t xml:space="preserve">Serves as the model’s interactive dashboard. It allows users to explore how each indicator is generated by viewing the underlying assumptions, formulas, and data sources in a transparent, traceable format. Users can customize the outputs by selecting:
• </t>
    </r>
    <r>
      <rPr>
        <b/>
        <sz val="12"/>
        <color theme="1"/>
        <rFont val="Lato"/>
        <family val="2"/>
      </rPr>
      <t>State</t>
    </r>
    <r>
      <rPr>
        <sz val="12"/>
        <color theme="1"/>
        <rFont val="Lato"/>
        <family val="2"/>
      </rPr>
      <t xml:space="preserve"> (to view state-specific agricultural capacity and economic impacts)
• </t>
    </r>
    <r>
      <rPr>
        <b/>
        <sz val="12"/>
        <color theme="1"/>
        <rFont val="Lato"/>
        <family val="2"/>
      </rPr>
      <t>Definition of Total Addressable Market (TAM)</t>
    </r>
    <r>
      <rPr>
        <sz val="12"/>
        <color theme="1"/>
        <rFont val="Lato"/>
        <family val="2"/>
      </rPr>
      <t xml:space="preserve"> they want to apply
• </t>
    </r>
    <r>
      <rPr>
        <b/>
        <sz val="12"/>
        <color theme="1"/>
        <rFont val="Lato"/>
        <family val="2"/>
      </rPr>
      <t>Type of insurance coverage</t>
    </r>
    <r>
      <rPr>
        <sz val="12"/>
        <color theme="1"/>
        <rFont val="Lato"/>
        <family val="2"/>
      </rPr>
      <t xml:space="preserve"> (Medicaid, Medicare, VA Health, private)
This sheet provides s an easy way to validate model behavior, compare scenarios, and understand how changes in inputs influence the resulting estimates across all economic and agricultural indicators.</t>
    </r>
  </si>
  <si>
    <r>
      <rPr>
        <b/>
        <sz val="12"/>
        <color theme="1"/>
        <rFont val="Lato"/>
        <family val="2"/>
      </rPr>
      <t xml:space="preserve">Inputs: </t>
    </r>
    <r>
      <rPr>
        <sz val="12"/>
        <color theme="1"/>
        <rFont val="Lato"/>
        <family val="2"/>
      </rPr>
      <t xml:space="preserve">Aggregated indicators from Demand,  Supply Calculations and Economic impact tabs
</t>
    </r>
    <r>
      <rPr>
        <b/>
        <sz val="12"/>
        <color theme="1"/>
        <rFont val="Lato"/>
        <family val="2"/>
      </rPr>
      <t xml:space="preserve">Outputs: </t>
    </r>
    <r>
      <rPr>
        <sz val="12"/>
        <color theme="1"/>
        <rFont val="Lato"/>
        <family val="2"/>
      </rPr>
      <t xml:space="preserve">Final key indicators (e.g., TAM, Total value of locally sourced food for FIM, jobs created, impact on GDP)
</t>
    </r>
    <r>
      <rPr>
        <b/>
        <sz val="12"/>
        <color theme="1"/>
        <rFont val="Lato"/>
        <family val="2"/>
      </rPr>
      <t>Dependencies:</t>
    </r>
    <r>
      <rPr>
        <sz val="12"/>
        <color theme="1"/>
        <rFont val="Lato"/>
        <family val="2"/>
      </rPr>
      <t xml:space="preserve"> This sheet primarily pulls the underlying numbers from the three Calculations sheets, so they should be filled in
</t>
    </r>
    <r>
      <rPr>
        <b/>
        <sz val="12"/>
        <color theme="1"/>
        <rFont val="Lato"/>
        <family val="2"/>
      </rPr>
      <t>[Only edit green cells, using provided drop down options]</t>
    </r>
  </si>
  <si>
    <t>Demographics</t>
  </si>
  <si>
    <t>Contains population and socio-demographic data. Includes variables such as population by state, rural/urban distribution, GDP, and state legistlature.</t>
  </si>
  <si>
    <r>
      <rPr>
        <b/>
        <sz val="12"/>
        <color theme="1"/>
        <rFont val="Lato"/>
        <family val="2"/>
      </rPr>
      <t xml:space="preserve">Inputs: </t>
    </r>
    <r>
      <rPr>
        <sz val="12"/>
        <color theme="1"/>
        <rFont val="Lato"/>
        <family val="2"/>
      </rPr>
      <t xml:space="preserve">Population, income, rural/urban, and legislature data from census
</t>
    </r>
    <r>
      <rPr>
        <b/>
        <sz val="12"/>
        <color theme="1"/>
        <rFont val="Lato"/>
        <family val="2"/>
      </rPr>
      <t xml:space="preserve">Outputs: </t>
    </r>
    <r>
      <rPr>
        <sz val="12"/>
        <color theme="1"/>
        <rFont val="Lato"/>
        <family val="2"/>
      </rPr>
      <t xml:space="preserve">State-level population and socio-demographic profiles
</t>
    </r>
    <r>
      <rPr>
        <b/>
        <sz val="12"/>
        <color theme="1"/>
        <rFont val="Lato"/>
        <family val="2"/>
      </rPr>
      <t>Dependencies:</t>
    </r>
    <r>
      <rPr>
        <sz val="12"/>
        <color theme="1"/>
        <rFont val="Lato"/>
        <family val="2"/>
      </rPr>
      <t xml:space="preserve"> Feeds into calculations
</t>
    </r>
    <r>
      <rPr>
        <b/>
        <sz val="12"/>
        <color theme="1"/>
        <rFont val="Lato"/>
        <family val="2"/>
      </rPr>
      <t>[Do not edit this sheet]</t>
    </r>
  </si>
  <si>
    <t>National data</t>
  </si>
  <si>
    <t xml:space="preserve">Compiles all data inputs that apply uniformly across every state. This includes national-level  constants and reference values, such as average farm characteristics, program cost parameters, economic multipliers, and other indicators that do not vary by geography. </t>
  </si>
  <si>
    <r>
      <rPr>
        <b/>
        <sz val="12"/>
        <color theme="1"/>
        <rFont val="Lato"/>
        <family val="2"/>
      </rPr>
      <t xml:space="preserve">Inputs: </t>
    </r>
    <r>
      <rPr>
        <sz val="12"/>
        <color theme="1"/>
        <rFont val="Lato"/>
        <family val="2"/>
      </rPr>
      <t xml:space="preserve">FIM interventions data, food volume data, family farms data, jobs multipler
</t>
    </r>
    <r>
      <rPr>
        <b/>
        <sz val="12"/>
        <color theme="1"/>
        <rFont val="Lato"/>
        <family val="2"/>
      </rPr>
      <t xml:space="preserve">Outputs: </t>
    </r>
    <r>
      <rPr>
        <sz val="12"/>
        <color theme="1"/>
        <rFont val="Lato"/>
        <family val="2"/>
      </rPr>
      <t xml:space="preserve">Standardized metrics across states
</t>
    </r>
    <r>
      <rPr>
        <b/>
        <sz val="12"/>
        <color theme="1"/>
        <rFont val="Lato"/>
        <family val="2"/>
      </rPr>
      <t>Dependencies:</t>
    </r>
    <r>
      <rPr>
        <sz val="12"/>
        <color theme="1"/>
        <rFont val="Lato"/>
        <family val="2"/>
      </rPr>
      <t xml:space="preserve"> Feeds into calculations
</t>
    </r>
    <r>
      <rPr>
        <b/>
        <sz val="12"/>
        <color theme="1"/>
        <rFont val="Lato"/>
        <family val="2"/>
      </rPr>
      <t>[Do not edit this sheet]</t>
    </r>
  </si>
  <si>
    <t>Assumptions data</t>
  </si>
  <si>
    <t>Documents all model assumptions used when state-specific or nationally reported data are unavailable. It outlines which indicators rely on assumptions, the values applied, and the rationale or sources behind them.</t>
  </si>
  <si>
    <r>
      <rPr>
        <b/>
        <sz val="12"/>
        <color theme="1"/>
        <rFont val="Lato"/>
        <family val="2"/>
      </rPr>
      <t xml:space="preserve">Inputs: </t>
    </r>
    <r>
      <rPr>
        <sz val="12"/>
        <color theme="1"/>
        <rFont val="Lato"/>
        <family val="2"/>
      </rPr>
      <t xml:space="preserve">FIM interventions data, food volume data, family farms data, jobs multipler
</t>
    </r>
    <r>
      <rPr>
        <b/>
        <sz val="12"/>
        <color theme="1"/>
        <rFont val="Lato"/>
        <family val="2"/>
      </rPr>
      <t xml:space="preserve">Outputs: </t>
    </r>
    <r>
      <rPr>
        <sz val="12"/>
        <color theme="1"/>
        <rFont val="Lato"/>
        <family val="2"/>
      </rPr>
      <t xml:space="preserve">Standardized metrics across states
</t>
    </r>
    <r>
      <rPr>
        <b/>
        <sz val="12"/>
        <color theme="1"/>
        <rFont val="Lato"/>
        <family val="2"/>
      </rPr>
      <t>Dependencies:</t>
    </r>
    <r>
      <rPr>
        <sz val="12"/>
        <color theme="1"/>
        <rFont val="Lato"/>
        <family val="2"/>
      </rPr>
      <t xml:space="preserve"> Feeds into calculations
</t>
    </r>
    <r>
      <rPr>
        <b/>
        <sz val="12"/>
        <color theme="1"/>
        <rFont val="Lato"/>
        <family val="2"/>
      </rPr>
      <t>[Edit this sheet only to update an assumption]</t>
    </r>
  </si>
  <si>
    <t>Demand calculations</t>
  </si>
  <si>
    <t>Translates insurance and health parameters into demand estimates. Calculates the number of potential medically relevant and insured populations that could demand  FIM programs by state</t>
  </si>
  <si>
    <r>
      <rPr>
        <b/>
        <sz val="12"/>
        <color theme="1"/>
        <rFont val="Lato"/>
        <family val="2"/>
      </rPr>
      <t xml:space="preserve">Inputs: </t>
    </r>
    <r>
      <rPr>
        <sz val="12"/>
        <color theme="1"/>
        <rFont val="Lato"/>
        <family val="2"/>
      </rPr>
      <t xml:space="preserve">Demographic data, health insurance coverage, and condition prevalence
</t>
    </r>
    <r>
      <rPr>
        <b/>
        <sz val="12"/>
        <color theme="1"/>
        <rFont val="Lato"/>
        <family val="2"/>
      </rPr>
      <t xml:space="preserve">Outputs: </t>
    </r>
    <r>
      <rPr>
        <sz val="12"/>
        <color theme="1"/>
        <rFont val="Lato"/>
        <family val="2"/>
      </rPr>
      <t xml:space="preserve">Estimated number of medically relevant populations, insured population, and intersection of both by state
</t>
    </r>
    <r>
      <rPr>
        <b/>
        <sz val="12"/>
        <color theme="1"/>
        <rFont val="Lato"/>
        <family val="2"/>
      </rPr>
      <t>Dependencies:</t>
    </r>
    <r>
      <rPr>
        <sz val="12"/>
        <color theme="1"/>
        <rFont val="Lato"/>
        <family val="2"/>
      </rPr>
      <t xml:space="preserve"> Uses data from Demographics, Health insurance data, and Health conditions data; outputs inform future demand or scenario analyses
</t>
    </r>
    <r>
      <rPr>
        <b/>
        <sz val="12"/>
        <color theme="1"/>
        <rFont val="Lato"/>
        <family val="2"/>
      </rPr>
      <t>[Do not edit this sheet]</t>
    </r>
  </si>
  <si>
    <t>Health insurance data</t>
  </si>
  <si>
    <t>Includes data on insurance coverage (Medicaid, Medicare Advantage, VA Health Care, private, uninsured) participation, used to model coverage and reimbursement potential for FIM interventions</t>
  </si>
  <si>
    <r>
      <rPr>
        <b/>
        <sz val="12"/>
        <color theme="1"/>
        <rFont val="Lato"/>
        <family val="2"/>
      </rPr>
      <t xml:space="preserve">Inputs: </t>
    </r>
    <r>
      <rPr>
        <sz val="12"/>
        <color theme="1"/>
        <rFont val="Lato"/>
        <family val="2"/>
      </rPr>
      <t xml:space="preserve">State-level data on Medicaid, Medicare Advantage, and VA Health Care 
</t>
    </r>
    <r>
      <rPr>
        <b/>
        <sz val="12"/>
        <color theme="1"/>
        <rFont val="Lato"/>
        <family val="2"/>
      </rPr>
      <t xml:space="preserve">Outputs: </t>
    </r>
    <r>
      <rPr>
        <sz val="12"/>
        <color theme="1"/>
        <rFont val="Lato"/>
        <family val="2"/>
      </rPr>
      <t xml:space="preserve">Insurance coverage rates 
</t>
    </r>
    <r>
      <rPr>
        <b/>
        <sz val="12"/>
        <color theme="1"/>
        <rFont val="Lato"/>
        <family val="2"/>
      </rPr>
      <t>Dependencies:</t>
    </r>
    <r>
      <rPr>
        <sz val="12"/>
        <color theme="1"/>
        <rFont val="Lato"/>
        <family val="2"/>
      </rPr>
      <t xml:space="preserve"> Used in Demand calculations
</t>
    </r>
    <r>
      <rPr>
        <b/>
        <sz val="12"/>
        <color theme="1"/>
        <rFont val="Lato"/>
        <family val="2"/>
      </rPr>
      <t>[Do not edit this sheet]</t>
    </r>
  </si>
  <si>
    <t>Health conditions data</t>
  </si>
  <si>
    <t>Contains prevalence data for diet-related chronic conditions (e.g., diabetes, cardiovascular diseases, obesity) and food insecurity that inform potential eligibility and targeting for FIM programs</t>
  </si>
  <si>
    <r>
      <rPr>
        <b/>
        <sz val="12"/>
        <color theme="1"/>
        <rFont val="Lato"/>
        <family val="2"/>
      </rPr>
      <t xml:space="preserve">Inputs: </t>
    </r>
    <r>
      <rPr>
        <sz val="12"/>
        <color theme="1"/>
        <rFont val="Lato"/>
        <family val="2"/>
      </rPr>
      <t xml:space="preserve">State-level prevalence of diet-related chronic conditions (e.g., diabetes, obesity, CVD) from CDC and related sources 
</t>
    </r>
    <r>
      <rPr>
        <b/>
        <sz val="12"/>
        <color theme="1"/>
        <rFont val="Lato"/>
        <family val="2"/>
      </rPr>
      <t xml:space="preserve">Outputs: </t>
    </r>
    <r>
      <rPr>
        <sz val="12"/>
        <color theme="1"/>
        <rFont val="Lato"/>
        <family val="2"/>
      </rPr>
      <t xml:space="preserve">Condition prevalence rates supporting estimation of eligible or high-need populations 
</t>
    </r>
    <r>
      <rPr>
        <b/>
        <sz val="12"/>
        <color theme="1"/>
        <rFont val="Lato"/>
        <family val="2"/>
      </rPr>
      <t>Dependencies:</t>
    </r>
    <r>
      <rPr>
        <sz val="12"/>
        <color theme="1"/>
        <rFont val="Lato"/>
        <family val="2"/>
      </rPr>
      <t xml:space="preserve"> Used in Demand calculations
</t>
    </r>
    <r>
      <rPr>
        <b/>
        <sz val="12"/>
        <color theme="1"/>
        <rFont val="Lato"/>
        <family val="2"/>
      </rPr>
      <t>[Do not edit this sheet]</t>
    </r>
  </si>
  <si>
    <t>FIM interventions data</t>
  </si>
  <si>
    <t>Contains reimbursement data for FIM interventions, to reflect the average dollar amount paid by insurance payers.</t>
  </si>
  <si>
    <r>
      <rPr>
        <b/>
        <sz val="12"/>
        <color theme="1"/>
        <rFont val="Lato"/>
        <family val="2"/>
      </rPr>
      <t xml:space="preserve">Inputs: </t>
    </r>
    <r>
      <rPr>
        <sz val="12"/>
        <color theme="1"/>
        <rFont val="Lato"/>
        <family val="2"/>
      </rPr>
      <t xml:space="preserve">State-level average reimubrsement for FIM interventions
</t>
    </r>
    <r>
      <rPr>
        <b/>
        <sz val="12"/>
        <color theme="1"/>
        <rFont val="Lato"/>
        <family val="2"/>
      </rPr>
      <t xml:space="preserve">Outputs: </t>
    </r>
    <r>
      <rPr>
        <sz val="12"/>
        <color theme="1"/>
        <rFont val="Lato"/>
        <family val="2"/>
      </rPr>
      <t xml:space="preserve">Total expenditures on MTMs, MTGs, and PRx by state 
</t>
    </r>
    <r>
      <rPr>
        <b/>
        <sz val="12"/>
        <color theme="1"/>
        <rFont val="Lato"/>
        <family val="2"/>
      </rPr>
      <t>Dependencies:</t>
    </r>
    <r>
      <rPr>
        <sz val="12"/>
        <color theme="1"/>
        <rFont val="Lato"/>
        <family val="2"/>
      </rPr>
      <t xml:space="preserve"> Used in Demand calculations
</t>
    </r>
    <r>
      <rPr>
        <b/>
        <sz val="12"/>
        <color theme="1"/>
        <rFont val="Lato"/>
        <family val="2"/>
      </rPr>
      <t>[Do not edit this sheet]</t>
    </r>
  </si>
  <si>
    <t>Reimbursement data</t>
  </si>
  <si>
    <t>A benchmark dataset of reimbursement rates across existing FIM programs, used to estimate state-level program costs for each intervention.</t>
  </si>
  <si>
    <t>Supply calculations</t>
  </si>
  <si>
    <t xml:space="preserve">Translates demand figures (i.e., TAM) into associated supply estimates. Calculates the dollar value and total volume of the locally sourced food produced for FIM in each state, along with the total value of FIM expenditures retained in state (i.e., including distribution costs). </t>
  </si>
  <si>
    <r>
      <rPr>
        <b/>
        <sz val="12"/>
        <color theme="1"/>
        <rFont val="Lato"/>
        <family val="2"/>
      </rPr>
      <t>Inputs: Demand calculations, interventions costs, local food sourcing, and food volume</t>
    </r>
    <r>
      <rPr>
        <sz val="12"/>
        <color theme="1"/>
        <rFont val="Lato"/>
        <family val="2"/>
      </rPr>
      <t xml:space="preserve">
</t>
    </r>
    <r>
      <rPr>
        <b/>
        <sz val="12"/>
        <color theme="1"/>
        <rFont val="Lato"/>
        <family val="2"/>
      </rPr>
      <t xml:space="preserve">Outputs: </t>
    </r>
    <r>
      <rPr>
        <sz val="12"/>
        <color theme="1"/>
        <rFont val="Lato"/>
        <family val="2"/>
      </rPr>
      <t xml:space="preserve">Estimated number of medically relevant populations, insured population, and intersection of both by state
</t>
    </r>
    <r>
      <rPr>
        <b/>
        <sz val="12"/>
        <color theme="1"/>
        <rFont val="Lato"/>
        <family val="2"/>
      </rPr>
      <t>Dependencies:</t>
    </r>
    <r>
      <rPr>
        <sz val="12"/>
        <color theme="1"/>
        <rFont val="Lato"/>
        <family val="2"/>
      </rPr>
      <t xml:space="preserve"> Uses data from Demand calculations, Interventions cost, Local food sourcing, and Food volume data; outputs inform economic impact
</t>
    </r>
    <r>
      <rPr>
        <b/>
        <sz val="12"/>
        <color theme="1"/>
        <rFont val="Lato"/>
        <family val="2"/>
      </rPr>
      <t>[Do not edit this sheet]</t>
    </r>
  </si>
  <si>
    <t>Interventions cost</t>
  </si>
  <si>
    <t>Calculates the total value of locally sourced food for each intervention type, under each definition of TAM (i.e., CC: chronic conditions only, FPL: chronic conditions and FPL)</t>
  </si>
  <si>
    <r>
      <rPr>
        <b/>
        <sz val="12"/>
        <color theme="1"/>
        <rFont val="Lato"/>
        <family val="2"/>
      </rPr>
      <t>Inputs:</t>
    </r>
    <r>
      <rPr>
        <sz val="12"/>
        <color theme="1"/>
        <rFont val="Lato"/>
        <family val="2"/>
      </rPr>
      <t xml:space="preserve"> FIM interventions data, local food sourcing
</t>
    </r>
    <r>
      <rPr>
        <b/>
        <sz val="12"/>
        <color theme="1"/>
        <rFont val="Lato"/>
        <family val="2"/>
      </rPr>
      <t xml:space="preserve">Outputs: </t>
    </r>
    <r>
      <rPr>
        <sz val="12"/>
        <color theme="1"/>
        <rFont val="Lato"/>
        <family val="2"/>
      </rPr>
      <t xml:space="preserve">Total value of locally sourced food and value of MTM expenditures retained in state
</t>
    </r>
    <r>
      <rPr>
        <b/>
        <sz val="12"/>
        <color theme="1"/>
        <rFont val="Lato"/>
        <family val="2"/>
      </rPr>
      <t>Dependencies:</t>
    </r>
    <r>
      <rPr>
        <sz val="12"/>
        <color theme="1"/>
        <rFont val="Lato"/>
        <family val="2"/>
      </rPr>
      <t xml:space="preserve"> Used in Supply calculations
</t>
    </r>
    <r>
      <rPr>
        <b/>
        <sz val="12"/>
        <color theme="1"/>
        <rFont val="Lato"/>
        <family val="2"/>
      </rPr>
      <t>[Do not edit this sheet]</t>
    </r>
  </si>
  <si>
    <t>Local food sourcing</t>
  </si>
  <si>
    <t xml:space="preserve">Applies archetypes to states, using two indices: Agricultural commodity diversification index and the Availability of locally produced food ranking. Based on these  indices, assigned a range </t>
  </si>
  <si>
    <t>Food volume</t>
  </si>
  <si>
    <t>Estimates the proportion of food types (i.e., fruits, vegetables, grains, meat, nuts, dairy) for each FIM intervention, and uses the relevant price to calculate the total volume of food purchased for each FIM intervention.</t>
  </si>
  <si>
    <r>
      <rPr>
        <b/>
        <sz val="12"/>
        <color theme="1"/>
        <rFont val="Lato"/>
        <family val="2"/>
      </rPr>
      <t>Inputs:</t>
    </r>
    <r>
      <rPr>
        <sz val="12"/>
        <color theme="1"/>
        <rFont val="Lato"/>
        <family val="2"/>
      </rPr>
      <t xml:space="preserve"> National average prices of food groups, proportion of each food group in MTMs, MTGs, PRx, based on nutrition guidelines
</t>
    </r>
    <r>
      <rPr>
        <b/>
        <sz val="12"/>
        <color theme="1"/>
        <rFont val="Lato"/>
        <family val="2"/>
      </rPr>
      <t xml:space="preserve">Outputs: </t>
    </r>
    <r>
      <rPr>
        <sz val="12"/>
        <color theme="1"/>
        <rFont val="Lato"/>
        <family val="2"/>
      </rPr>
      <t xml:space="preserve">Total volume of food groups in each intervention
</t>
    </r>
    <r>
      <rPr>
        <b/>
        <sz val="12"/>
        <color theme="1"/>
        <rFont val="Lato"/>
        <family val="2"/>
      </rPr>
      <t>Dependencies:</t>
    </r>
    <r>
      <rPr>
        <sz val="12"/>
        <color theme="1"/>
        <rFont val="Lato"/>
        <family val="2"/>
      </rPr>
      <t xml:space="preserve"> Used in Supply calculations
</t>
    </r>
    <r>
      <rPr>
        <b/>
        <sz val="12"/>
        <color theme="1"/>
        <rFont val="Lato"/>
        <family val="2"/>
      </rPr>
      <t>[Do not edit this sheet]</t>
    </r>
  </si>
  <si>
    <t>Economic impact calculations</t>
  </si>
  <si>
    <t>Calculates economic impact figures, specifically income to farmers, number of farms supported, jobs created, and overall economic impact.</t>
  </si>
  <si>
    <r>
      <rPr>
        <b/>
        <sz val="12"/>
        <color theme="1"/>
        <rFont val="Lato"/>
        <family val="2"/>
      </rPr>
      <t xml:space="preserve">Inputs: </t>
    </r>
    <r>
      <rPr>
        <sz val="12"/>
        <color theme="1"/>
        <rFont val="Lato"/>
        <family val="2"/>
      </rPr>
      <t xml:space="preserve">Demand calculations, supply calculations,  farm proportions, multipliers
</t>
    </r>
    <r>
      <rPr>
        <b/>
        <sz val="12"/>
        <color theme="1"/>
        <rFont val="Lato"/>
        <family val="2"/>
      </rPr>
      <t xml:space="preserve">Outputs: </t>
    </r>
    <r>
      <rPr>
        <sz val="12"/>
        <color theme="1"/>
        <rFont val="Lato"/>
        <family val="2"/>
      </rPr>
      <t xml:space="preserve">Economic impact figures
</t>
    </r>
    <r>
      <rPr>
        <b/>
        <sz val="12"/>
        <color theme="1"/>
        <rFont val="Lato"/>
        <family val="2"/>
      </rPr>
      <t>Dependencies:</t>
    </r>
    <r>
      <rPr>
        <sz val="12"/>
        <color theme="1"/>
        <rFont val="Lato"/>
        <family val="2"/>
      </rPr>
      <t xml:space="preserve"> Uses data from Demand calculations, Supply calculations, Farm proportions, and Multipliers
</t>
    </r>
    <r>
      <rPr>
        <b/>
        <sz val="12"/>
        <color theme="1"/>
        <rFont val="Lato"/>
        <family val="2"/>
      </rPr>
      <t>[Do not edit this sheet]</t>
    </r>
  </si>
  <si>
    <t>Farms proportions</t>
  </si>
  <si>
    <t>Calculates the portion of specialty crop production that small and medium family farms are responsible for, focusing on rice, vegetables, fruits, and beef as a proxy.</t>
  </si>
  <si>
    <r>
      <rPr>
        <b/>
        <sz val="12"/>
        <color theme="1"/>
        <rFont val="Lato"/>
        <family val="2"/>
      </rPr>
      <t xml:space="preserve">Inputs: </t>
    </r>
    <r>
      <rPr>
        <sz val="12"/>
        <color theme="1"/>
        <rFont val="Lato"/>
        <family val="2"/>
      </rPr>
      <t xml:space="preserve">Market value of specialty crops produced by small, medium, and large farms, by state
</t>
    </r>
    <r>
      <rPr>
        <b/>
        <sz val="12"/>
        <color theme="1"/>
        <rFont val="Lato"/>
        <family val="2"/>
      </rPr>
      <t>Outputs:</t>
    </r>
    <r>
      <rPr>
        <sz val="12"/>
        <color theme="1"/>
        <rFont val="Lato"/>
        <family val="2"/>
      </rPr>
      <t xml:space="preserve"> Proportion of specialty crop production for small and medium family farms
</t>
    </r>
    <r>
      <rPr>
        <b/>
        <sz val="12"/>
        <color theme="1"/>
        <rFont val="Lato"/>
        <family val="2"/>
      </rPr>
      <t>Dependencies:</t>
    </r>
    <r>
      <rPr>
        <sz val="12"/>
        <color theme="1"/>
        <rFont val="Lato"/>
        <family val="2"/>
      </rPr>
      <t xml:space="preserve"> None
</t>
    </r>
    <r>
      <rPr>
        <b/>
        <sz val="12"/>
        <color theme="1"/>
        <rFont val="Lato"/>
        <family val="2"/>
      </rPr>
      <t>[Do not edit this sheet]</t>
    </r>
  </si>
  <si>
    <t>Farm GDP</t>
  </si>
  <si>
    <t>State-level data on agriculture’s contribution to GDP and employment, used to validate and contextualize model outputs.</t>
  </si>
  <si>
    <r>
      <rPr>
        <b/>
        <sz val="12"/>
        <color theme="1"/>
        <rFont val="Lato"/>
        <family val="2"/>
      </rPr>
      <t xml:space="preserve">Inputs: </t>
    </r>
    <r>
      <rPr>
        <sz val="12"/>
        <color theme="1"/>
        <rFont val="Lato"/>
        <family val="2"/>
      </rPr>
      <t xml:space="preserve">Farming GDP, total farming employment, by state
</t>
    </r>
    <r>
      <rPr>
        <b/>
        <sz val="12"/>
        <color theme="1"/>
        <rFont val="Lato"/>
        <family val="2"/>
      </rPr>
      <t>Outputs:</t>
    </r>
    <r>
      <rPr>
        <sz val="12"/>
        <color theme="1"/>
        <rFont val="Lato"/>
        <family val="2"/>
      </rPr>
      <t xml:space="preserve"> Farming share of GDP
</t>
    </r>
    <r>
      <rPr>
        <b/>
        <sz val="12"/>
        <color theme="1"/>
        <rFont val="Lato"/>
        <family val="2"/>
      </rPr>
      <t>Dependencies:</t>
    </r>
    <r>
      <rPr>
        <sz val="12"/>
        <color theme="1"/>
        <rFont val="Lato"/>
        <family val="2"/>
      </rPr>
      <t xml:space="preserve"> None
</t>
    </r>
    <r>
      <rPr>
        <b/>
        <sz val="12"/>
        <color theme="1"/>
        <rFont val="Lato"/>
        <family val="2"/>
      </rPr>
      <t>[Do not edit this sheet]</t>
    </r>
  </si>
  <si>
    <t>Multipliers</t>
  </si>
  <si>
    <t>Contains the local economic impact multiplier for each state.</t>
  </si>
  <si>
    <r>
      <rPr>
        <b/>
        <sz val="12"/>
        <color theme="1"/>
        <rFont val="Lato"/>
        <family val="2"/>
      </rPr>
      <t xml:space="preserve">Inputs: </t>
    </r>
    <r>
      <rPr>
        <sz val="12"/>
        <color theme="1"/>
        <rFont val="Lato"/>
        <family val="2"/>
      </rPr>
      <t xml:space="preserve">Local economic impact multiplier by state.
</t>
    </r>
    <r>
      <rPr>
        <b/>
        <sz val="12"/>
        <color theme="1"/>
        <rFont val="Lato"/>
        <family val="2"/>
      </rPr>
      <t xml:space="preserve">Outputs: </t>
    </r>
    <r>
      <rPr>
        <sz val="12"/>
        <color theme="1"/>
        <rFont val="Lato"/>
        <family val="2"/>
      </rPr>
      <t xml:space="preserve">None
</t>
    </r>
    <r>
      <rPr>
        <b/>
        <sz val="12"/>
        <color theme="1"/>
        <rFont val="Lato"/>
        <family val="2"/>
      </rPr>
      <t>Dependencies:</t>
    </r>
    <r>
      <rPr>
        <sz val="12"/>
        <color theme="1"/>
        <rFont val="Lato"/>
        <family val="2"/>
      </rPr>
      <t xml:space="preserve"> None
</t>
    </r>
    <r>
      <rPr>
        <b/>
        <sz val="12"/>
        <color theme="1"/>
        <rFont val="Lato"/>
        <family val="2"/>
      </rPr>
      <t>[Do not edit this sheet]</t>
    </r>
  </si>
  <si>
    <t>ADDITIONAL SHEETS CONTAINING DATA AND UNDERLYING MODEL LOGIC - DO NOT EDIT WITHOUT WITHOUT PRECAUTION.</t>
  </si>
  <si>
    <t>USING THIS TOOL EFFECTIVELY (COLOR KEY)</t>
  </si>
  <si>
    <t>GREEN CELL</t>
  </si>
  <si>
    <t>Denotes a modeling user input that can be changed. 
[ONLY EDIT GREEN CELLS]</t>
  </si>
  <si>
    <t>GREY CELL</t>
  </si>
  <si>
    <t>Denotes a cell with a calculation outside of the model logic.
[DO NOT EDIT]</t>
  </si>
  <si>
    <t>BLUE CELL</t>
  </si>
  <si>
    <t>Denotes a cell with a key indicator
[DO NOT EDIT]</t>
  </si>
  <si>
    <t>WHITE CELL</t>
  </si>
  <si>
    <t>Denotes a statistic, based on research. Should not be changed, unless new information is available. 
[EDIT WITH NEW INFORMATION]</t>
  </si>
  <si>
    <t>PURPLE CELL</t>
  </si>
  <si>
    <t>Denotes a cell with an intermediate calculation in the model. 
[DO NOT EDIT]</t>
  </si>
  <si>
    <t>YELLOW CELL</t>
  </si>
  <si>
    <t>Denotes a cell with a national data point. 
[EDIT WITH NEW INFORMATION]</t>
  </si>
  <si>
    <t>ORANGE CELL</t>
  </si>
  <si>
    <t>Denotes a cell that has an assumption. 
[EDIT WITH NEW INFORMATION]</t>
  </si>
  <si>
    <t>PINK CELL</t>
  </si>
  <si>
    <t>Denotes a cell that is using data from another state as proxy. 
[EDIT WITH NEW INFORMATION]</t>
  </si>
  <si>
    <t>Term</t>
  </si>
  <si>
    <t>Definition</t>
  </si>
  <si>
    <t>Chronic conditions</t>
  </si>
  <si>
    <t>Long-term illnesses such as diabetes, hypertension, cardiovascular disease, chronic kidney disease, and obesity that require ongoing care.</t>
  </si>
  <si>
    <t>Diet-relevant chronic conditions</t>
  </si>
  <si>
    <t>Chronic conditions that can benefit from diet interventions, including history of myocardial infarction, coronary heart disease, history of stroke, asthma, melanoma cancer, COPD, depression, kidney disease, arthritis, diabetes, and preganncy.</t>
  </si>
  <si>
    <t>Federal Poverty Level (FPL)</t>
  </si>
  <si>
    <t>An income threshold used to determine eligibility for public programs, adjusted by household size. (185% FPL is equal to household income of $27,861 for an individual or $57,720 for a family of four.)</t>
  </si>
  <si>
    <t>Food is Medicine (FIM)</t>
  </si>
  <si>
    <t>A set of clinically informed nutrition interventions delivered within or alongside healthcare systems to prevent, manage, or treat diet-related chronic disease.</t>
  </si>
  <si>
    <t>In Lieu of Services (ILOS)</t>
  </si>
  <si>
    <t>ILOS are alternative Medicaid services that managed care plans may offer in place of traditional medical services when they are expected to be cost-effective and medically appropriate. Under ILOS, plans can cover supports such as medically tailored meals or nutrition services as substitutes for higher-cost clinical care.</t>
  </si>
  <si>
    <t>Instrumental Activities of Daily Living (IADLs)</t>
  </si>
  <si>
    <t>Tasks necessary for independent living, such as grocery shopping, meal preparation, medication management, and transportation. Limitations in IADLs often indicate increased need for supports like MTMs.</t>
  </si>
  <si>
    <t>Local sourcing / local/regional food systems</t>
  </si>
  <si>
    <t>Local sourcing refers to procuring food from producers within a defined geographic area, defined in this paper as within the same state. Local and regional food systems encompass the farms, processors, distributors, and markets that enable food grown within a region to reach local consumers.</t>
  </si>
  <si>
    <t>Medicaid</t>
  </si>
  <si>
    <t>Medicaid is a federal–state health insurance program that provides coverage to low-income individuals, families, older adults, and people with disabilities. States administer Medicaid within federal guidelines and have flexibility to cover additional services, including Food is Medicine interventions, through waivers or managed care arrangements</t>
  </si>
  <si>
    <t>Medically tailored groceries (MTGs)</t>
  </si>
  <si>
    <t>Regular provision of nutrient-dense groceries selected to align with an individual's clinical needs and dietary restrictions, intended for patients who can safely prepare meals at home.</t>
  </si>
  <si>
    <t>Medically tailored meals (MTMs)</t>
  </si>
  <si>
    <t>Fully prepared meals designed by registered dietitians to meet the medical and nutritional needs of individuals with complex or severe illnesses, often delivered to patients with functional or clinical limitations.</t>
  </si>
  <si>
    <t>Medicare</t>
  </si>
  <si>
    <t>Medicare is a federal health insurance program for adults aged 65 and older and for younger individuals with certain disabilities or end-stage renal disease. Traditional Medicare generally covers clinical care and limited supplemental benefits.</t>
  </si>
  <si>
    <t>Medicare Advantage</t>
  </si>
  <si>
    <t>Medicare Advantage plans are private insurance plans that deliver Medicare benefits and may offer additional services not covered under traditional Medicare. These plans have flexibility to provide “Special Supplemental Benefits for the Chronically Ill,” which can include nutrition supports such as groceries, meal delivery, or produce benefits.</t>
  </si>
  <si>
    <t>Mid-sized family farm</t>
  </si>
  <si>
    <t>A mid-sized or medium family farm is an operation with gross cash farm income between 350,000 and 999,999 dollars per year, owned and operated primarily by a family.</t>
  </si>
  <si>
    <t>Produce prescriptions (PRx)</t>
  </si>
  <si>
    <t>Clinician-issued prescriptions or financial incentives that enable patients to purchase fruits and vegetables, typically delivered through monthly benefits, vouchers, or produce boxes.</t>
  </si>
  <si>
    <t>Program reimbursement</t>
  </si>
  <si>
    <t>The total payment made by an insurer or payer to a provider of Food is Medicine (FIM) services. It reflects the full expenditure on FIM interventions, including food and all associated services.</t>
  </si>
  <si>
    <t>Section 1115 waivers</t>
  </si>
  <si>
    <t>Section 1115 waivers allow states to test new approaches to Medicaid that differ from federal program rules. States can use these waivers to pilot innovative models that improve health outcomes, reduce costs, and address social drivers of health, including nutrition support and Food is Medicine services.</t>
  </si>
  <si>
    <t>Small family farm</t>
  </si>
  <si>
    <t>According to USDA definitions, a small family farm is an operation with gross cash farm income below 350,000 dollars per year, where the majority of the business is owned and operated by a family.</t>
  </si>
  <si>
    <t>Total addressable market</t>
  </si>
  <si>
    <t>The total addressable market (TAM) represents the full population that could benefit from or qualify for a service under ideal conditions. In the context of this analysis, TAM refers to the number of individuals who would be eligible for Food is Medicine interventions based on clinical need and potential coverage pathways.</t>
  </si>
  <si>
    <t>Assumption</t>
  </si>
  <si>
    <t>Data Gaps &amp; Proxies</t>
  </si>
  <si>
    <t>For states where indicator data was not available, we used the most demographically or programmatically similar state as a proxy from the same dataset. Proxies applied:
• Kentucky ← West Virginia
• Pennsylvania ← New York
• Tennessee ← Alabama
• Louisiana ← Mississippi
• Rhode Island ← Connecticut</t>
  </si>
  <si>
    <t>Distribution of patients across FIM interventions</t>
  </si>
  <si>
    <t>This analysis assumes a defined distribution of eligible patients across major Food is Medicine intervention types, including Medically Tailored Meals (MTMs), Medically Tailored Groceries (MTGs), and produce prescription models (vouchers and produce boxes). There are currently no statewide FIM programs that offer all intervention types at scale, and evidence on the relative effectiveness of different interventions by clinical condition and patient circumstance continues to evolve. As a result, the assumed mix is not intended to represent an optimal or prescriptive program design.
Instead, the assumed distribution reflects three implementation realities. First, it accounts for differences in delivery intensity, with MTMs requiring the most preparation and coordination, followed by MTGs, produce boxes, and vouchers. Second, it reflects ease of implementation, with voucher-based models assumed to scale most readily because they rely on existing retail and payment infrastructure. Third, it incorporates likely eligibility constraints, with MTMs targeted to individuals unable to cook, MTGs to those unable to grocery shop, and produce prescriptions serving a broader population.</t>
  </si>
  <si>
    <t>Distribution of costs for FIM expenditures (i.e., food vs. non-food)</t>
  </si>
  <si>
    <t>Total FIM spending is allocated across food procurement and non-food components, such as meal preparation, aggregation, distribution, clinical integration, and program administration. This breakdown reflects the reality that FIM programs are not solely food purchases but bundled service models that require infrastructure and labor to deliver clinically appropriate nutrition.
Interviews with FIM implementers revealed that food costs make up a minority of the total cost of FIM programs, with the cost of last-mile delivery often making up nearly 50% of total cost. While this assumption reflects the current reality of FIM programs, ongoing work to reduce delivery costs and potential to take advantage of economies of scale when FIM expands more broadly could easily shift this balance, such that a larger proportion of FIM spending reaches food producers.</t>
  </si>
  <si>
    <t>States’ potential ability to locally source food</t>
  </si>
  <si>
    <t>The analysis assumes varying levels of state capacity to source food locally, due to differences in states’ agricultural products and availability of local and regional food supply chains. Interviews with food producers, aggregators, and FIM implementers revealed that the breadth of available food products produced in state and the existing food infrastructure were the two largest constraints for local sourcing at scale.
Thus, to measure each state’s ability to locally source food, we created a framework grounded in two primary indices: Production Agriculture Diversification and the Availability of Locally Produced Food.  The Production Agriculture Diversification index counts how many unique agricultural products a state produces, indicating the breadth of available products for FIM programs. The Availability of Locally Produced Food index considers USDA-reported data on the availability of local food resources (e.g., CSAs, farmers markets, on-farm markets, food hubs, agritourism) and U.S. Census Bureau-reported data on food resource availability.
Based on these two indices, states were scored high or low on the two dimensions of food diversity and local food availability. Using this high-low rating system, four archetypes were created, and each archetype was assigned one of four levels of ability to locally source.</t>
  </si>
  <si>
    <t>States' potential preference for local FIM providers</t>
  </si>
  <si>
    <t>Similar to the previous assumption, this analysis considers the proportion of FIM providers that are considered “in-state” (i.e., would allow the state to capture more economic value by retaining FIM dollars in state). However, unlike the previous assumption, this analysis does not assume varying levels of state capacity, and instead estimates what percentage of MTMs, MTGs, and PRx nationally will be fulfilled by in-state providers. We assumed this percentage could be roughly similar across states, as it is likely easier to scale and create new FIM service provider businesses, compared to starting new farms.
We estimated that MTMs were most likely to be prepared and fulfilled locally, while MTGs and produce prescription boxes were equally likely to have moderate levels of local fulfillment, given the greater simplicity of shipping produce compared to preparing entire meals. PRx vouchers were unlikely to be fulfilled locally, even if community-based organizations provided the vouchers themselves, as the dollars for implementation would still flow to the broader retail market.
These percentages were assigned based on analogs (i.e., school food systems) and existing FIM delivery models (Meals on Wheels, Feeding America, and the Massachusetts FIM State Plan). These assumed percentages will primarily be driven by policy and regulation, with states that preference local and community-based organizations for FIM service provision likely to increase the total proportion of dollars retained in state.</t>
  </si>
  <si>
    <t>Modeling outputs</t>
  </si>
  <si>
    <r>
      <rPr>
        <b/>
        <sz val="11"/>
        <color rgb="FF000000"/>
        <rFont val="Aptos Narrow"/>
        <scheme val="minor"/>
      </rPr>
      <t xml:space="preserve">Description: Visual tool to test model logic by state. Select a state to populate indicator rows with actual data and verify the model's calculations.
Note:  </t>
    </r>
    <r>
      <rPr>
        <i/>
        <sz val="11"/>
        <color rgb="FF000000"/>
        <rFont val="Aptos Narrow"/>
        <scheme val="minor"/>
      </rPr>
      <t>This tool was developed specifically to support analysis for the Food is Medicine report. The methodology, assumptions and simplifications embedded in the analysis should be interpreted within the context and scope of the report.</t>
    </r>
  </si>
  <si>
    <t>Controls</t>
  </si>
  <si>
    <t>Key</t>
  </si>
  <si>
    <t>State</t>
  </si>
  <si>
    <t>Oklahoma</t>
  </si>
  <si>
    <t>&lt;&lt;</t>
  </si>
  <si>
    <t>Determines which state is displayed</t>
  </si>
  <si>
    <t>Model outputs</t>
  </si>
  <si>
    <t>Model inputs</t>
  </si>
  <si>
    <t>Symbols</t>
  </si>
  <si>
    <t>TAM definition</t>
  </si>
  <si>
    <t>Chronic conditions and FPL</t>
  </si>
  <si>
    <t>Determines how TAM is calculated</t>
  </si>
  <si>
    <t>Key calculation</t>
  </si>
  <si>
    <t>State-specific data point</t>
  </si>
  <si>
    <t>Previously calculated intermediate calculation</t>
  </si>
  <si>
    <t>Sum of intermediate calculations above</t>
  </si>
  <si>
    <t>Insurance type</t>
  </si>
  <si>
    <t>Total</t>
  </si>
  <si>
    <t>Determines the total population (based on insurance)</t>
  </si>
  <si>
    <t>Intermediate calculation</t>
  </si>
  <si>
    <t>National data point</t>
  </si>
  <si>
    <t>DEMAND</t>
  </si>
  <si>
    <t>TAM</t>
  </si>
  <si>
    <t>Number of people who have diet-relevant chronic conditions</t>
  </si>
  <si>
    <t>=</t>
  </si>
  <si>
    <t>x</t>
  </si>
  <si>
    <t>% of people with a chronic condition</t>
  </si>
  <si>
    <t>% of people with chronic conditions who could benefit from FIM interventions</t>
  </si>
  <si>
    <t>TAM definition selected</t>
  </si>
  <si>
    <t>Can change with the Controls tab above.</t>
  </si>
  <si>
    <t>Sources:</t>
  </si>
  <si>
    <t>US Census - Population by State</t>
  </si>
  <si>
    <t>Dalberg analysis with BRFSS Data</t>
  </si>
  <si>
    <t>Number of people who have diet-relevant chronic conditions and are below 185% FPL</t>
  </si>
  <si>
    <t>% of people at or below 185% FPL</t>
  </si>
  <si>
    <t>% of people with a chronic condition (185% FPL)</t>
  </si>
  <si>
    <t>% of people with chronic conditions who could benefit from FIM interventions (185% FPL)</t>
  </si>
  <si>
    <t>Number of people who have food insecurity</t>
  </si>
  <si>
    <t>Total state population</t>
  </si>
  <si>
    <t>% of people who are food insecure</t>
  </si>
  <si>
    <t>USDA Economic Research Service - Food Security</t>
  </si>
  <si>
    <t>TOTAL FIM EXPENDITURES</t>
  </si>
  <si>
    <t>Total MTM expenditures</t>
  </si>
  <si>
    <t>Number of patients eligible for FIM (TAM)</t>
  </si>
  <si>
    <t>% of patients eligible for MTMs</t>
  </si>
  <si>
    <t>Average number of meals per week</t>
  </si>
  <si>
    <t>Average number of weeks of MTMs</t>
  </si>
  <si>
    <t>Average total reimbursement for a meal</t>
  </si>
  <si>
    <t>Dalberg calculation</t>
  </si>
  <si>
    <t>Health Affairs - Estimated Impact of MTMs (2025)</t>
  </si>
  <si>
    <t>Average of MTM program reimbursements</t>
  </si>
  <si>
    <t>Total MTG expenditures</t>
  </si>
  <si>
    <t>% of patients eligible for MTGs</t>
  </si>
  <si>
    <t>Average number of groceries per week</t>
  </si>
  <si>
    <t>Average number of weeks of MTGs</t>
  </si>
  <si>
    <t>Average total reimbursement for groceries</t>
  </si>
  <si>
    <t>AHA - A Systematic Review of "Food is Medicine" Randomized Controlled Trials (2025)</t>
  </si>
  <si>
    <t>North Carolina Healthy Opportunities Pilot Fee Schedule</t>
  </si>
  <si>
    <t>Total PRx vouchers expenditures</t>
  </si>
  <si>
    <t>% of patients eligible for PRx vouchers</t>
  </si>
  <si>
    <t>Average number of produce vouchers per week</t>
  </si>
  <si>
    <t>Average number of weeks of PRx vouchers</t>
  </si>
  <si>
    <t>Average total reimbursement for produce vouchers</t>
  </si>
  <si>
    <t>Tufts - True Cost of Food: Food is Medicine Case Study</t>
  </si>
  <si>
    <t>Total PRx box expenditures</t>
  </si>
  <si>
    <t>% of patients eligible for PRx box</t>
  </si>
  <si>
    <t>Average number of produce boxes per week</t>
  </si>
  <si>
    <t>Average number of weeks of PRx boxes</t>
  </si>
  <si>
    <t>Average total reimbursement for produce boxes</t>
  </si>
  <si>
    <t>Brighter Bites - Food is Medicine</t>
  </si>
  <si>
    <t>Average of PRx produce boxes program reimbursements</t>
  </si>
  <si>
    <t>Total FIM expenditures</t>
  </si>
  <si>
    <t>+</t>
  </si>
  <si>
    <t>SUPPLY</t>
  </si>
  <si>
    <t>TOTAL VALUE OF LOCALLY SOURCED FOOD FOR FIM</t>
  </si>
  <si>
    <t>Total value of locally sourced food for MTMs</t>
  </si>
  <si>
    <t>Proportion spent on food for MTMs</t>
  </si>
  <si>
    <t>Proportion of food that can be locally sourced for MTMs</t>
  </si>
  <si>
    <t>Total value of locally sourced food for MTGs</t>
  </si>
  <si>
    <t>Proportion spent on food for MTGs</t>
  </si>
  <si>
    <t>Proportion of food that can be locally sourced for MTGs</t>
  </si>
  <si>
    <t>Total value of locally sourced food for PRx vouchers</t>
  </si>
  <si>
    <t>Total PRx voucher expenditures</t>
  </si>
  <si>
    <t>Proportion spent on food for PRx vouchers</t>
  </si>
  <si>
    <t>Proportion of food that can be locally sourced for PRx vouchers</t>
  </si>
  <si>
    <t>Total value of locally sourced food for PRx box</t>
  </si>
  <si>
    <t>Proportion spent on food for PRx box</t>
  </si>
  <si>
    <t>Proportion of food that can be locally sourced for PRx produce boxes</t>
  </si>
  <si>
    <t>Total value of locally sourced food for FIM</t>
  </si>
  <si>
    <t>TOTAL VALUE OF FIM EXPENDITURES RETAINED IN STATE</t>
  </si>
  <si>
    <t>Total value of MTM expenditures retained in state</t>
  </si>
  <si>
    <t>Proportion spent on distribution/admin for MTMs</t>
  </si>
  <si>
    <t>Proportion of MTMs fulfilled by local/in-state actors</t>
  </si>
  <si>
    <t>Total value of MTG expenditures retained in state</t>
  </si>
  <si>
    <t>Proportion spent on distribution/admin for MTGs</t>
  </si>
  <si>
    <t>Proportion of MTGs fulfilled by local/in-state actors</t>
  </si>
  <si>
    <t>Total value of PRx vouchers expenditures retained in state</t>
  </si>
  <si>
    <t>Proportion spent on distribution/admin for PRx vouchers</t>
  </si>
  <si>
    <t>Proportion of PRx vouchers fulfilled by local/in-state actors</t>
  </si>
  <si>
    <t>Total value of PRx box expenditures retained in state</t>
  </si>
  <si>
    <t>Proportion spent on distribution/admin for PRx box</t>
  </si>
  <si>
    <t>Proportion of PRx boxes fulfilled by local/in-state actors</t>
  </si>
  <si>
    <t>Total value of FIM expenditures retained in state</t>
  </si>
  <si>
    <t>TOTAL  VOLUME OF LOCALLY SOURCED FOOD</t>
  </si>
  <si>
    <t>Total volume of locally sourced food for MTMs</t>
  </si>
  <si>
    <t>/</t>
  </si>
  <si>
    <t>Average price of food per pound</t>
  </si>
  <si>
    <t>US Bureau of Labor Statistics - Average Retail Food and Energy Prices</t>
  </si>
  <si>
    <t>Total volume of locally sourced food for MTGs</t>
  </si>
  <si>
    <t xml:space="preserve">Average price of food per pound </t>
  </si>
  <si>
    <t>Total volume of locally sourced food for PRx vouchers</t>
  </si>
  <si>
    <t>Total volume of locally sourced food for PRx box</t>
  </si>
  <si>
    <t>Total volume of locally sourced foods for FIM interventions (tons)</t>
  </si>
  <si>
    <t>ECONOMIC IMPACT</t>
  </si>
  <si>
    <t>FARM-SPECIFIC IMPACT</t>
  </si>
  <si>
    <t>Income to small family farmers</t>
  </si>
  <si>
    <t>Proportion of small family farms, by production volume</t>
  </si>
  <si>
    <t>US Census of Agriculture 2022 - Farm Typology</t>
  </si>
  <si>
    <t>Income to medium family farmers</t>
  </si>
  <si>
    <t>Proportion of medium family farms, by production volume</t>
  </si>
  <si>
    <t>Number of small family farms supported</t>
  </si>
  <si>
    <t>Average revenue of small family farms</t>
  </si>
  <si>
    <t>Average proportion of revenue from institutional purchasers</t>
  </si>
  <si>
    <t>Number of medium family farms supported</t>
  </si>
  <si>
    <t>Average revenue of medium family farms</t>
  </si>
  <si>
    <t>Number of acres impacted by FIM</t>
  </si>
  <si>
    <t>Average acres per small family farm</t>
  </si>
  <si>
    <t>Average acres per medium family farm</t>
  </si>
  <si>
    <t>Michigan State University - Farm Size</t>
  </si>
  <si>
    <t>STATE ECONOMY IMPACT</t>
  </si>
  <si>
    <t>Jobs created</t>
  </si>
  <si>
    <t>Number of jobs created per $1M invested in local agriculture</t>
  </si>
  <si>
    <t xml:space="preserve">Average of  studies and data points: </t>
  </si>
  <si>
    <t>Institutional Food Market Coalition / UW Madison (2010) - 2.2 jobs/$100,000</t>
  </si>
  <si>
    <t>Entrepreneurial outcomes in US retail farmers’ markets (2009) – 13 jobs / $1 million in local farming revenue</t>
  </si>
  <si>
    <t>Niman Ranch (2021) – 14 jobs / $1 million in direct sales by a single local farm (Iowa)</t>
  </si>
  <si>
    <t>Assessing the economic impacts of food hubs on regional economies (2016) – 9.65 jobs / $1 million increase in food hub demand (5.19 jobs in ag., 4.46 jobs ex-ag)</t>
  </si>
  <si>
    <t>Impact on GDP</t>
  </si>
  <si>
    <t>Local economic impact multiplier</t>
  </si>
  <si>
    <t>Bauman et al. (2024) Building Representative State Groupings in an Input-Output Model</t>
  </si>
  <si>
    <t>ID</t>
  </si>
  <si>
    <t>States</t>
  </si>
  <si>
    <t>Abbreviation</t>
  </si>
  <si>
    <t>Priority</t>
  </si>
  <si>
    <t>Source</t>
  </si>
  <si>
    <t>GDP 2024 (current dollars)</t>
  </si>
  <si>
    <t>Total employment</t>
  </si>
  <si>
    <t>Source (2024)</t>
  </si>
  <si>
    <t>Under 0.50 FPL</t>
  </si>
  <si>
    <t>% of people below 50% FPL</t>
  </si>
  <si>
    <t>0.50 to 0.99 FPL</t>
  </si>
  <si>
    <t>% of people at or below 100% FPL</t>
  </si>
  <si>
    <t>1.00 to 1.24 FPL</t>
  </si>
  <si>
    <t>% of people at or below 124% FPL</t>
  </si>
  <si>
    <t>1.25 to 1.49 FPL</t>
  </si>
  <si>
    <t>% of people at or below 150% FPL</t>
  </si>
  <si>
    <t>1.50 to 1.84 FPL</t>
  </si>
  <si>
    <t>Share of rural population (2023)</t>
  </si>
  <si>
    <t>Share of urban population (2023)</t>
  </si>
  <si>
    <t>Region</t>
  </si>
  <si>
    <t>Governor</t>
  </si>
  <si>
    <t>State Legislature</t>
  </si>
  <si>
    <t>% of people at or below 185% FPL (Medicaid)</t>
  </si>
  <si>
    <t>% of people at or below 185% FPL (Medicare)</t>
  </si>
  <si>
    <t>% of people at or below 185% FPL (Private)</t>
  </si>
  <si>
    <t>% of people at or below 185% FPL (VA Health)</t>
  </si>
  <si>
    <t>Alabama</t>
  </si>
  <si>
    <t>AL</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</si>
  <si>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19</t>
  </si>
  <si>
    <t>https://www.census.gov/data/tables/time-series/demo/popest/2020s-state-total.html</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</si>
  <si>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19</t>
  </si>
  <si>
    <t>https://data.census.gov/table/ACSDT1Y2024.C17002?q=C17002+Federal+Poverty+Level+2024+ACS+1-Year&amp;g=010XX00US_040XX00US01,02,04,05,06,08,09,10,12,13,15,16,17,18,19,20,21,22,23,24,25,26,27,28,29,30,31,32,33,34,35,36,37,38,39,40,41,42,44,45,46,47,48,49,50,51,53,54,55,56</t>
  </si>
  <si>
    <t>https://worldpopulationreview.com/state-rankings/most-rural-states</t>
  </si>
  <si>
    <t>South</t>
  </si>
  <si>
    <t>Republican</t>
  </si>
  <si>
    <t>https://www.cdc.gov/brfss/brfssprevalence/index.html</t>
  </si>
  <si>
    <t>Alaska</t>
  </si>
  <si>
    <t>AK</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</si>
  <si>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20</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</si>
  <si>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20</t>
  </si>
  <si>
    <t>https://data.census.gov/table/ACSDT1Y2024.C17002?q=C17002+Federal+Poverty+Level+2024+ACS+1-Year&amp;g=010XX00US_040XX00US01,02,04,05,06,08,09,10,12,13,15,16,17,18,19,20,21,22,23,24,25,26,27,28,29,30,31,32,33,34,35,36,37,38,39,40,41,42,44,45,46,47,48,49,50,51,53,54,55,57</t>
  </si>
  <si>
    <t>West</t>
  </si>
  <si>
    <t>Other</t>
  </si>
  <si>
    <t>Arizona</t>
  </si>
  <si>
    <t>AZ</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</si>
  <si>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21</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</si>
  <si>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21</t>
  </si>
  <si>
    <t>https://data.census.gov/table/ACSDT1Y2024.C17002?q=C17002+Federal+Poverty+Level+2024+ACS+1-Year&amp;g=010XX00US_040XX00US01,02,04,05,06,08,09,10,12,13,15,16,17,18,19,20,21,22,23,24,25,26,27,28,29,30,31,32,33,34,35,36,37,38,39,40,41,42,44,45,46,47,48,49,50,51,53,54,55,58</t>
  </si>
  <si>
    <t>Democrat</t>
  </si>
  <si>
    <t>Arkansas</t>
  </si>
  <si>
    <t>AR</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</si>
  <si>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22</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</si>
  <si>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22</t>
  </si>
  <si>
    <t>https://data.census.gov/table/ACSDT1Y2024.C17002?q=C17002+Federal+Poverty+Level+2024+ACS+1-Year&amp;g=010XX00US_040XX00US01,02,04,05,06,08,09,10,12,13,15,16,17,18,19,20,21,22,23,24,25,26,27,28,29,30,31,32,33,34,35,36,37,38,39,40,41,42,44,45,46,47,48,49,50,51,53,54,55,59</t>
  </si>
  <si>
    <t>California</t>
  </si>
  <si>
    <t>CA</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</si>
  <si>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23</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</si>
  <si>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23</t>
  </si>
  <si>
    <t>https://data.census.gov/table/ACSDT1Y2024.C17002?q=C17002+Federal+Poverty+Level+2024+ACS+1-Year&amp;g=010XX00US_040XX00US01,02,04,05,06,08,09,10,12,13,15,16,17,18,19,20,21,22,23,24,25,26,27,28,29,30,31,32,33,34,35,36,37,38,39,40,41,42,44,45,46,47,48,49,50,51,53,54,55,60</t>
  </si>
  <si>
    <t>Colorado</t>
  </si>
  <si>
    <t>CO</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</si>
  <si>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24</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</si>
  <si>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24</t>
  </si>
  <si>
    <t>https://data.census.gov/table/ACSDT1Y2024.C17002?q=C17002+Federal+Poverty+Level+2024+ACS+1-Year&amp;g=010XX00US_040XX00US01,02,04,05,06,08,09,10,12,13,15,16,17,18,19,20,21,22,23,24,25,26,27,28,29,30,31,32,33,34,35,36,37,38,39,40,41,42,44,45,46,47,48,49,50,51,53,54,55,61</t>
  </si>
  <si>
    <t>Connecticut</t>
  </si>
  <si>
    <t>CT</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</si>
  <si>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25</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</si>
  <si>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25</t>
  </si>
  <si>
    <t>https://data.census.gov/table/ACSDT1Y2024.C17002?q=C17002+Federal+Poverty+Level+2024+ACS+1-Year&amp;g=010XX00US_040XX00US01,02,04,05,06,08,09,10,12,13,15,16,17,18,19,20,21,22,23,24,25,26,27,28,29,30,31,32,33,34,35,36,37,38,39,40,41,42,44,45,46,47,48,49,50,51,53,54,55,62</t>
  </si>
  <si>
    <t>Northeast</t>
  </si>
  <si>
    <t>Delaware</t>
  </si>
  <si>
    <t>DE</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</si>
  <si>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26</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</si>
  <si>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26</t>
  </si>
  <si>
    <t>https://data.census.gov/table/ACSDT1Y2024.C17002?q=C17002+Federal+Poverty+Level+2024+ACS+1-Year&amp;g=010XX00US_040XX00US01,02,04,05,06,08,09,10,12,13,15,16,17,18,19,20,21,22,23,24,25,26,27,28,29,30,31,32,33,34,35,36,37,38,39,40,41,42,44,45,46,47,48,49,50,51,53,54,55,63</t>
  </si>
  <si>
    <t>Florida</t>
  </si>
  <si>
    <t>FL</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</si>
  <si>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27</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</si>
  <si>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27</t>
  </si>
  <si>
    <t>https://data.census.gov/table/ACSDT1Y2024.C17002?q=C17002+Federal+Poverty+Level+2024+ACS+1-Year&amp;g=010XX00US_040XX00US01,02,04,05,06,08,09,10,12,13,15,16,17,18,19,20,21,22,23,24,25,26,27,28,29,30,31,32,33,34,35,36,37,38,39,40,41,42,44,45,46,47,48,49,50,51,53,54,55,64</t>
  </si>
  <si>
    <t>Georgia</t>
  </si>
  <si>
    <t>GA</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</si>
  <si>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28</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</si>
  <si>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28</t>
  </si>
  <si>
    <t>https://data.census.gov/table/ACSDT1Y2024.C17002?q=C17002+Federal+Poverty+Level+2024+ACS+1-Year&amp;g=010XX00US_040XX00US01,02,04,05,06,08,09,10,12,13,15,16,17,18,19,20,21,22,23,24,25,26,27,28,29,30,31,32,33,34,35,36,37,38,39,40,41,42,44,45,46,47,48,49,50,51,53,54,55,65</t>
  </si>
  <si>
    <t>Hawaii</t>
  </si>
  <si>
    <t>HI</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</si>
  <si>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29</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</si>
  <si>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29</t>
  </si>
  <si>
    <t>https://data.census.gov/table/ACSDT1Y2024.C17002?q=C17002+Federal+Poverty+Level+2024+ACS+1-Year&amp;g=010XX00US_040XX00US01,02,04,05,06,08,09,10,12,13,15,16,17,18,19,20,21,22,23,24,25,26,27,28,29,30,31,32,33,34,35,36,37,38,39,40,41,42,44,45,46,47,48,49,50,51,53,54,55,66</t>
  </si>
  <si>
    <t>Idaho</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</si>
  <si>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30</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</si>
  <si>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30</t>
  </si>
  <si>
    <t>https://data.census.gov/table/ACSDT1Y2024.C17002?q=C17002+Federal+Poverty+Level+2024+ACS+1-Year&amp;g=010XX00US_040XX00US01,02,04,05,06,08,09,10,12,13,15,16,17,18,19,20,21,22,23,24,25,26,27,28,29,30,31,32,33,34,35,36,37,38,39,40,41,42,44,45,46,47,48,49,50,51,53,54,55,67</t>
  </si>
  <si>
    <t>Illinois</t>
  </si>
  <si>
    <t>IL</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</si>
  <si>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31</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</si>
  <si>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31</t>
  </si>
  <si>
    <t>https://data.census.gov/table/ACSDT1Y2024.C17002?q=C17002+Federal+Poverty+Level+2024+ACS+1-Year&amp;g=010XX00US_040XX00US01,02,04,05,06,08,09,10,12,13,15,16,17,18,19,20,21,22,23,24,25,26,27,28,29,30,31,32,33,34,35,36,37,38,39,40,41,42,44,45,46,47,48,49,50,51,53,54,55,68</t>
  </si>
  <si>
    <t>Midwest</t>
  </si>
  <si>
    <t>Indiana</t>
  </si>
  <si>
    <t>IN</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</si>
  <si>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32</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</si>
  <si>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32</t>
  </si>
  <si>
    <t>https://data.census.gov/table/ACSDT1Y2024.C17002?q=C17002+Federal+Poverty+Level+2024+ACS+1-Year&amp;g=010XX00US_040XX00US01,02,04,05,06,08,09,10,12,13,15,16,17,18,19,20,21,22,23,24,25,26,27,28,29,30,31,32,33,34,35,36,37,38,39,40,41,42,44,45,46,47,48,49,50,51,53,54,55,69</t>
  </si>
  <si>
    <t>Iowa</t>
  </si>
  <si>
    <t>IA</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</si>
  <si>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33</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</si>
  <si>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33</t>
  </si>
  <si>
    <t>https://data.census.gov/table/ACSDT1Y2024.C17002?q=C17002+Federal+Poverty+Level+2024+ACS+1-Year&amp;g=010XX00US_040XX00US01,02,04,05,06,08,09,10,12,13,15,16,17,18,19,20,21,22,23,24,25,26,27,28,29,30,31,32,33,34,35,36,37,38,39,40,41,42,44,45,46,47,48,49,50,51,53,54,55,70</t>
  </si>
  <si>
    <t>Kansas</t>
  </si>
  <si>
    <t>KS</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</si>
  <si>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34</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</si>
  <si>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34</t>
  </si>
  <si>
    <t>https://data.census.gov/table/ACSDT1Y2024.C17002?q=C17002+Federal+Poverty+Level+2024+ACS+1-Year&amp;g=010XX00US_040XX00US01,02,04,05,06,08,09,10,12,13,15,16,17,18,19,20,21,22,23,24,25,26,27,28,29,30,31,32,33,34,35,36,37,38,39,40,41,42,44,45,46,47,48,49,50,51,53,54,55,71</t>
  </si>
  <si>
    <t>Kentucky</t>
  </si>
  <si>
    <t>KY</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</si>
  <si>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35</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</si>
  <si>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35</t>
  </si>
  <si>
    <t>https://data.census.gov/table/ACSDT1Y2024.C17002?q=C17002+Federal+Poverty+Level+2024+ACS+1-Year&amp;g=010XX00US_040XX00US01,02,04,05,06,08,09,10,12,13,15,16,17,18,19,20,21,22,23,24,25,26,27,28,29,30,31,32,33,34,35,36,37,38,39,40,41,42,44,45,46,47,48,49,50,51,53,54,55,72</t>
  </si>
  <si>
    <t>Louisiana</t>
  </si>
  <si>
    <t>LA</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</si>
  <si>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36</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</si>
  <si>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36</t>
  </si>
  <si>
    <t>https://data.census.gov/table/ACSDT1Y2024.C17002?q=C17002+Federal+Poverty+Level+2024+ACS+1-Year&amp;g=010XX00US_040XX00US01,02,04,05,06,08,09,10,12,13,15,16,17,18,19,20,21,22,23,24,25,26,27,28,29,30,31,32,33,34,35,36,37,38,39,40,41,42,44,45,46,47,48,49,50,51,53,54,55,73</t>
  </si>
  <si>
    <t>Maine</t>
  </si>
  <si>
    <t>ME</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</si>
  <si>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37</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</si>
  <si>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37</t>
  </si>
  <si>
    <t>https://data.census.gov/table/ACSDT1Y2024.C17002?q=C17002+Federal+Poverty+Level+2024+ACS+1-Year&amp;g=010XX00US_040XX00US01,02,04,05,06,08,09,10,12,13,15,16,17,18,19,20,21,22,23,24,25,26,27,28,29,30,31,32,33,34,35,36,37,38,39,40,41,42,44,45,46,47,48,49,50,51,53,54,55,74</t>
  </si>
  <si>
    <t>Maryland</t>
  </si>
  <si>
    <t>MD</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</si>
  <si>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38</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</si>
  <si>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38</t>
  </si>
  <si>
    <t>https://data.census.gov/table/ACSDT1Y2024.C17002?q=C17002+Federal+Poverty+Level+2024+ACS+1-Year&amp;g=010XX00US_040XX00US01,02,04,05,06,08,09,10,12,13,15,16,17,18,19,20,21,22,23,24,25,26,27,28,29,30,31,32,33,34,35,36,37,38,39,40,41,42,44,45,46,47,48,49,50,51,53,54,55,75</t>
  </si>
  <si>
    <t>Massachusetts</t>
  </si>
  <si>
    <t>MA</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</si>
  <si>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39</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</si>
  <si>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39</t>
  </si>
  <si>
    <t>https://data.census.gov/table/ACSDT1Y2024.C17002?q=C17002+Federal+Poverty+Level+2024+ACS+1-Year&amp;g=010XX00US_040XX00US01,02,04,05,06,08,09,10,12,13,15,16,17,18,19,20,21,22,23,24,25,26,27,28,29,30,31,32,33,34,35,36,37,38,39,40,41,42,44,45,46,47,48,49,50,51,53,54,55,76</t>
  </si>
  <si>
    <t>Michigan</t>
  </si>
  <si>
    <t>MI</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</si>
  <si>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40</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</si>
  <si>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40</t>
  </si>
  <si>
    <t>https://data.census.gov/table/ACSDT1Y2024.C17002?q=C17002+Federal+Poverty+Level+2024+ACS+1-Year&amp;g=010XX00US_040XX00US01,02,04,05,06,08,09,10,12,13,15,16,17,18,19,20,21,22,23,24,25,26,27,28,29,30,31,32,33,34,35,36,37,38,39,40,41,42,44,45,46,47,48,49,50,51,53,54,55,77</t>
  </si>
  <si>
    <t>Split</t>
  </si>
  <si>
    <t>Minnesota</t>
  </si>
  <si>
    <t>MN</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</si>
  <si>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41</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</si>
  <si>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41</t>
  </si>
  <si>
    <t>https://data.census.gov/table/ACSDT1Y2024.C17002?q=C17002+Federal+Poverty+Level+2024+ACS+1-Year&amp;g=010XX00US_040XX00US01,02,04,05,06,08,09,10,12,13,15,16,17,18,19,20,21,22,23,24,25,26,27,28,29,30,31,32,33,34,35,36,37,38,39,40,41,42,44,45,46,47,48,49,50,51,53,54,55,78</t>
  </si>
  <si>
    <t>Mississippi</t>
  </si>
  <si>
    <t>MS</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</si>
  <si>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42</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</si>
  <si>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42</t>
  </si>
  <si>
    <t>https://data.census.gov/table/ACSDT1Y2024.C17002?q=C17002+Federal+Poverty+Level+2024+ACS+1-Year&amp;g=010XX00US_040XX00US01,02,04,05,06,08,09,10,12,13,15,16,17,18,19,20,21,22,23,24,25,26,27,28,29,30,31,32,33,34,35,36,37,38,39,40,41,42,44,45,46,47,48,49,50,51,53,54,55,79</t>
  </si>
  <si>
    <t>Missouri</t>
  </si>
  <si>
    <t>MO</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</si>
  <si>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43</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</si>
  <si>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43</t>
  </si>
  <si>
    <t>https://data.census.gov/table/ACSDT1Y2024.C17002?q=C17002+Federal+Poverty+Level+2024+ACS+1-Year&amp;g=010XX00US_040XX00US01,02,04,05,06,08,09,10,12,13,15,16,17,18,19,20,21,22,23,24,25,26,27,28,29,30,31,32,33,34,35,36,37,38,39,40,41,42,44,45,46,47,48,49,50,51,53,54,55,80</t>
  </si>
  <si>
    <t>Montana</t>
  </si>
  <si>
    <t>MT</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</si>
  <si>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44</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</si>
  <si>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44</t>
  </si>
  <si>
    <t>https://data.census.gov/table/ACSDT1Y2024.C17002?q=C17002+Federal+Poverty+Level+2024+ACS+1-Year&amp;g=010XX00US_040XX00US01,02,04,05,06,08,09,10,12,13,15,16,17,18,19,20,21,22,23,24,25,26,27,28,29,30,31,32,33,34,35,36,37,38,39,40,41,42,44,45,46,47,48,49,50,51,53,54,55,81</t>
  </si>
  <si>
    <t>Nebraska</t>
  </si>
  <si>
    <t>NE</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</si>
  <si>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45</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</si>
  <si>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45</t>
  </si>
  <si>
    <t>https://data.census.gov/table/ACSDT1Y2024.C17002?q=C17002+Federal+Poverty+Level+2024+ACS+1-Year&amp;g=010XX00US_040XX00US01,02,04,05,06,08,09,10,12,13,15,16,17,18,19,20,21,22,23,24,25,26,27,28,29,30,31,32,33,34,35,36,37,38,39,40,41,42,44,45,46,47,48,49,50,51,53,54,55,82</t>
  </si>
  <si>
    <t>Nevada</t>
  </si>
  <si>
    <t>NV</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</si>
  <si>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46</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</si>
  <si>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46</t>
  </si>
  <si>
    <t>https://data.census.gov/table/ACSDT1Y2024.C17002?q=C17002+Federal+Poverty+Level+2024+ACS+1-Year&amp;g=010XX00US_040XX00US01,02,04,05,06,08,09,10,12,13,15,16,17,18,19,20,21,22,23,24,25,26,27,28,29,30,31,32,33,34,35,36,37,38,39,40,41,42,44,45,46,47,48,49,50,51,53,54,55,83</t>
  </si>
  <si>
    <t>New Hampshire</t>
  </si>
  <si>
    <t>NH</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</si>
  <si>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47</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</si>
  <si>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47</t>
  </si>
  <si>
    <t>https://data.census.gov/table/ACSDT1Y2024.C17002?q=C17002+Federal+Poverty+Level+2024+ACS+1-Year&amp;g=010XX00US_040XX00US01,02,04,05,06,08,09,10,12,13,15,16,17,18,19,20,21,22,23,24,25,26,27,28,29,30,31,32,33,34,35,36,37,38,39,40,41,42,44,45,46,47,48,49,50,51,53,54,55,84</t>
  </si>
  <si>
    <t>New Jersey</t>
  </si>
  <si>
    <t>NJ</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</si>
  <si>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48</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</si>
  <si>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48</t>
  </si>
  <si>
    <t>https://data.census.gov/table/ACSDT1Y2024.C17002?q=C17002+Federal+Poverty+Level+2024+ACS+1-Year&amp;g=010XX00US_040XX00US01,02,04,05,06,08,09,10,12,13,15,16,17,18,19,20,21,22,23,24,25,26,27,28,29,30,31,32,33,34,35,36,37,38,39,40,41,42,44,45,46,47,48,49,50,51,53,54,55,85</t>
  </si>
  <si>
    <t>New Mexico</t>
  </si>
  <si>
    <t>NM</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</si>
  <si>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49</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</si>
  <si>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49</t>
  </si>
  <si>
    <t>https://data.census.gov/table/ACSDT1Y2024.C17002?q=C17002+Federal+Poverty+Level+2024+ACS+1-Year&amp;g=010XX00US_040XX00US01,02,04,05,06,08,09,10,12,13,15,16,17,18,19,20,21,22,23,24,25,26,27,28,29,30,31,32,33,34,35,36,37,38,39,40,41,42,44,45,46,47,48,49,50,51,53,54,55,86</t>
  </si>
  <si>
    <t>New York</t>
  </si>
  <si>
    <t>NY</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</si>
  <si>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50</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</si>
  <si>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50</t>
  </si>
  <si>
    <t>https://data.census.gov/table/ACSDT1Y2024.C17002?q=C17002+Federal+Poverty+Level+2024+ACS+1-Year&amp;g=010XX00US_040XX00US01,02,04,05,06,08,09,10,12,13,15,16,17,18,19,20,21,22,23,24,25,26,27,28,29,30,31,32,33,34,35,36,37,38,39,40,41,42,44,45,46,47,48,49,50,51,53,54,55,87</t>
  </si>
  <si>
    <t>North Carolina</t>
  </si>
  <si>
    <t>NC</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</si>
  <si>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51</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</si>
  <si>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51</t>
  </si>
  <si>
    <t>https://data.census.gov/table/ACSDT1Y2024.C17002?q=C17002+Federal+Poverty+Level+2024+ACS+1-Year&amp;g=010XX00US_040XX00US01,02,04,05,06,08,09,10,12,13,15,16,17,18,19,20,21,22,23,24,25,26,27,28,29,30,31,32,33,34,35,36,37,38,39,40,41,42,44,45,46,47,48,49,50,51,53,54,55,88</t>
  </si>
  <si>
    <t>North Dakota</t>
  </si>
  <si>
    <t>ND</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</si>
  <si>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52</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</si>
  <si>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52</t>
  </si>
  <si>
    <t>https://data.census.gov/table/ACSDT1Y2024.C17002?q=C17002+Federal+Poverty+Level+2024+ACS+1-Year&amp;g=010XX00US_040XX00US01,02,04,05,06,08,09,10,12,13,15,16,17,18,19,20,21,22,23,24,25,26,27,28,29,30,31,32,33,34,35,36,37,38,39,40,41,42,44,45,46,47,48,49,50,51,53,54,55,89</t>
  </si>
  <si>
    <t>Ohio</t>
  </si>
  <si>
    <t>OH</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</si>
  <si>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53</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</si>
  <si>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53</t>
  </si>
  <si>
    <t>https://data.census.gov/table/ACSDT1Y2024.C17002?q=C17002+Federal+Poverty+Level+2024+ACS+1-Year&amp;g=010XX00US_040XX00US01,02,04,05,06,08,09,10,12,13,15,16,17,18,19,20,21,22,23,24,25,26,27,28,29,30,31,32,33,34,35,36,37,38,39,40,41,42,44,45,46,47,48,49,50,51,53,54,55,90</t>
  </si>
  <si>
    <t>OK</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</si>
  <si>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54</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</si>
  <si>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54</t>
  </si>
  <si>
    <t>https://data.census.gov/table/ACSDT1Y2024.C17002?q=C17002+Federal+Poverty+Level+2024+ACS+1-Year&amp;g=010XX00US_040XX00US01,02,04,05,06,08,09,10,12,13,15,16,17,18,19,20,21,22,23,24,25,26,27,28,29,30,31,32,33,34,35,36,37,38,39,40,41,42,44,45,46,47,48,49,50,51,53,54,55,91</t>
  </si>
  <si>
    <t>Oregon</t>
  </si>
  <si>
    <t>OR</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</si>
  <si>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55</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</si>
  <si>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55</t>
  </si>
  <si>
    <t>https://data.census.gov/table/ACSDT1Y2024.C17002?q=C17002+Federal+Poverty+Level+2024+ACS+1-Year&amp;g=010XX00US_040XX00US01,02,04,05,06,08,09,10,12,13,15,16,17,18,19,20,21,22,23,24,25,26,27,28,29,30,31,32,33,34,35,36,37,38,39,40,41,42,44,45,46,47,48,49,50,51,53,54,55,92</t>
  </si>
  <si>
    <t>Pennsylvania</t>
  </si>
  <si>
    <t>PA</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</si>
  <si>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56</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</si>
  <si>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56</t>
  </si>
  <si>
    <t>https://data.census.gov/table/ACSDT1Y2024.C17002?q=C17002+Federal+Poverty+Level+2024+ACS+1-Year&amp;g=010XX00US_040XX00US01,02,04,05,06,08,09,10,12,13,15,16,17,18,19,20,21,22,23,24,25,26,27,28,29,30,31,32,33,34,35,36,37,38,39,40,41,42,44,45,46,47,48,49,50,51,53,54,55,93</t>
  </si>
  <si>
    <t>Rhode Island</t>
  </si>
  <si>
    <t>RI</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</si>
  <si>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57</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</si>
  <si>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57</t>
  </si>
  <si>
    <t>https://data.census.gov/table/ACSDT1Y2024.C17002?q=C17002+Federal+Poverty+Level+2024+ACS+1-Year&amp;g=010XX00US_040XX00US01,02,04,05,06,08,09,10,12,13,15,16,17,18,19,20,21,22,23,24,25,26,27,28,29,30,31,32,33,34,35,36,37,38,39,40,41,42,44,45,46,47,48,49,50,51,53,54,55,94</t>
  </si>
  <si>
    <t>South Carolina</t>
  </si>
  <si>
    <t>SC</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</si>
  <si>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58</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</si>
  <si>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58</t>
  </si>
  <si>
    <t>https://data.census.gov/table/ACSDT1Y2024.C17002?q=C17002+Federal+Poverty+Level+2024+ACS+1-Year&amp;g=010XX00US_040XX00US01,02,04,05,06,08,09,10,12,13,15,16,17,18,19,20,21,22,23,24,25,26,27,28,29,30,31,32,33,34,35,36,37,38,39,40,41,42,44,45,46,47,48,49,50,51,53,54,55,95</t>
  </si>
  <si>
    <t>South Dakota</t>
  </si>
  <si>
    <t>SD</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</si>
  <si>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59</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</si>
  <si>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59</t>
  </si>
  <si>
    <t>https://data.census.gov/table/ACSDT1Y2024.C17002?q=C17002+Federal+Poverty+Level+2024+ACS+1-Year&amp;g=010XX00US_040XX00US01,02,04,05,06,08,09,10,12,13,15,16,17,18,19,20,21,22,23,24,25,26,27,28,29,30,31,32,33,34,35,36,37,38,39,40,41,42,44,45,46,47,48,49,50,51,53,54,55,96</t>
  </si>
  <si>
    <t>Tennessee</t>
  </si>
  <si>
    <t>TN</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</si>
  <si>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60</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</si>
  <si>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60</t>
  </si>
  <si>
    <t>https://data.census.gov/table/ACSDT1Y2024.C17002?q=C17002+Federal+Poverty+Level+2024+ACS+1-Year&amp;g=010XX00US_040XX00US01,02,04,05,06,08,09,10,12,13,15,16,17,18,19,20,21,22,23,24,25,26,27,28,29,30,31,32,33,34,35,36,37,38,39,40,41,42,44,45,46,47,48,49,50,51,53,54,55,97</t>
  </si>
  <si>
    <t>Texas</t>
  </si>
  <si>
    <t>TX</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</si>
  <si>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61</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</si>
  <si>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61</t>
  </si>
  <si>
    <t>https://data.census.gov/table/ACSDT1Y2024.C17002?q=C17002+Federal+Poverty+Level+2024+ACS+1-Year&amp;g=010XX00US_040XX00US01,02,04,05,06,08,09,10,12,13,15,16,17,18,19,20,21,22,23,24,25,26,27,28,29,30,31,32,33,34,35,36,37,38,39,40,41,42,44,45,46,47,48,49,50,51,53,54,55,98</t>
  </si>
  <si>
    <t>Utah</t>
  </si>
  <si>
    <t>UT</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</si>
  <si>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62</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</si>
  <si>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62</t>
  </si>
  <si>
    <t>https://data.census.gov/table/ACSDT1Y2024.C17002?q=C17002+Federal+Poverty+Level+2024+ACS+1-Year&amp;g=010XX00US_040XX00US01,02,04,05,06,08,09,10,12,13,15,16,17,18,19,20,21,22,23,24,25,26,27,28,29,30,31,32,33,34,35,36,37,38,39,40,41,42,44,45,46,47,48,49,50,51,53,54,55,99</t>
  </si>
  <si>
    <t>Vermont</t>
  </si>
  <si>
    <t>VT</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</si>
  <si>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63</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</si>
  <si>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63</t>
  </si>
  <si>
    <t>https://data.census.gov/table/ACSDT1Y2024.C17002?q=C17002+Federal+Poverty+Level+2024+ACS+1-Year&amp;g=010XX00US_040XX00US01,02,04,05,06,08,09,10,12,13,15,16,17,18,19,20,21,22,23,24,25,26,27,28,29,30,31,32,33,34,35,36,37,38,39,40,41,42,44,45,46,47,48,49,50,51,53,54,55,100</t>
  </si>
  <si>
    <t>Virginia</t>
  </si>
  <si>
    <t>VA</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</si>
  <si>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64</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</si>
  <si>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64</t>
  </si>
  <si>
    <t>https://data.census.gov/table/ACSDT1Y2024.C17002?q=C17002+Federal+Poverty+Level+2024+ACS+1-Year&amp;g=010XX00US_040XX00US01,02,04,05,06,08,09,10,12,13,15,16,17,18,19,20,21,22,23,24,25,26,27,28,29,30,31,32,33,34,35,36,37,38,39,40,41,42,44,45,46,47,48,49,50,51,53,54,55,101</t>
  </si>
  <si>
    <t>Washington</t>
  </si>
  <si>
    <t>WA</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</si>
  <si>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65</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</si>
  <si>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65</t>
  </si>
  <si>
    <t>https://data.census.gov/table/ACSDT1Y2024.C17002?q=C17002+Federal+Poverty+Level+2024+ACS+1-Year&amp;g=010XX00US_040XX00US01,02,04,05,06,08,09,10,12,13,15,16,17,18,19,20,21,22,23,24,25,26,27,28,29,30,31,32,33,34,35,36,37,38,39,40,41,42,44,45,46,47,48,49,50,51,53,54,55,102</t>
  </si>
  <si>
    <t>West Virginia</t>
  </si>
  <si>
    <t>WV</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</si>
  <si>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66</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</si>
  <si>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66</t>
  </si>
  <si>
    <t>https://data.census.gov/table/ACSDT1Y2024.C17002?q=C17002+Federal+Poverty+Level+2024+ACS+1-Year&amp;g=010XX00US_040XX00US01,02,04,05,06,08,09,10,12,13,15,16,17,18,19,20,21,22,23,24,25,26,27,28,29,30,31,32,33,34,35,36,37,38,39,40,41,42,44,45,46,47,48,49,50,51,53,54,55,103</t>
  </si>
  <si>
    <t>Wisconsin</t>
  </si>
  <si>
    <t>WI</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</si>
  <si>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67</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</si>
  <si>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67</t>
  </si>
  <si>
    <t>https://data.census.gov/table/ACSDT1Y2024.C17002?q=C17002+Federal+Poverty+Level+2024+ACS+1-Year&amp;g=010XX00US_040XX00US01,02,04,05,06,08,09,10,12,13,15,16,17,18,19,20,21,22,23,24,25,26,27,28,29,30,31,32,33,34,35,36,37,38,39,40,41,42,44,45,46,47,48,49,50,51,53,54,55,104</t>
  </si>
  <si>
    <t>Wyoming</t>
  </si>
  <si>
    <t>WY</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</si>
  <si>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68</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</si>
  <si>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68</t>
  </si>
  <si>
    <t>https://data.census.gov/table/ACSDT1Y2024.C17002?q=C17002+Federal+Poverty+Level+2024+ACS+1-Year&amp;g=010XX00US_040XX00US01,02,04,05,06,08,09,10,12,13,15,16,17,18,19,20,21,22,23,24,25,26,27,28,29,30,31,32,33,34,35,36,37,38,39,40,41,42,44,45,46,47,48,49,50,51,53,54,55,105</t>
  </si>
  <si>
    <t>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69</t>
  </si>
  <si>
    <t>Food volume data</t>
  </si>
  <si>
    <t>Family farms data</t>
  </si>
  <si>
    <t>Jobs multiplier</t>
  </si>
  <si>
    <t>National</t>
  </si>
  <si>
    <t>NA</t>
  </si>
  <si>
    <t>https://www.healthaffairs.org/doi/10.1377/hlthaff.2024.01307</t>
  </si>
  <si>
    <t>https://www.ahajournals.org/doi/10.1161/CIR.0000000000001343</t>
  </si>
  <si>
    <t>https://tuftsfoodismedicine.org/wp-content/uploads/2023/09/Tufts_True_Cost_of_FIM_Case-Study_Report_Sep_2023.pdf</t>
  </si>
  <si>
    <t>https://www.brighterbites.org/food-is-medicine/</t>
  </si>
  <si>
    <t>https://www.bls.gov/regions/mid-atlantic/data/averageretailfoodandenergyprices_usandmidwest_table.htm</t>
  </si>
  <si>
    <t>https://ers.usda.gov/data-products/charts-of-note/chart-detail?chartId=110693</t>
  </si>
  <si>
    <t>https://www.canr.msu.edu/news/small_medium_large_does_farm_size_really_matter</t>
  </si>
  <si>
    <t>https://nimanranch.com/press/small-farm-economic-impact-analysis/; https://www.cambridge.org/core/services/aop-cambridge-core/content/view/B790A23FC14E23CDB0BF1C0994174516/S2372261416000096a.pdf/div-class-title-assessing-the-economic-impacts-of-food-hubs-on-regional-economies-a-framework-that-includes-opportunity-cost-div.pdf; https://sustainableagriculture.net/blog/local-farms-and-food-act-strengthens-regional-food-economies-across-the-us/; https://www.newventureadvisors.net/food-systems-as-economic-development/</t>
  </si>
  <si>
    <t>In Tufts' "True Cost of Food: Food is Medicine Case Study" (2023) and other studies, IADL limitations are used to determine eligibility for MTMs. (IADL: instruamental activities of daily living, meaning that a person requires help in "handling routine needs, such as everyday household chores, doing necessary business, shopping, or getting around for other purposes). CDC reported that in adults over 45 years old, the IADL rate in the US was 4.0% in 2015. (In comparison, the IADL prevalence rate in adults over 65 was 11.7%.) Recognizing that the IADL prevalence rate for all adults is likely to be lower than 4.0%, we chose 10% to reflect a potentially larger percentage of people that might eventually access MTMs.</t>
  </si>
  <si>
    <t>Given the greater involvement of nutritionists and a healthcare team for MTGs, as well as their relative novelty, MTGs were weighted to be half as prevalent of PRx of the remaining 90% once MTM-eligible patients were excluded.</t>
  </si>
  <si>
    <t>MTMs are likely to have additional admin and production costs, due to the meals requiring preparation. In testing this assumption with The Common Market, they estimated this figure was significantly lower than PRx produce prescription boxes, hence almost half the assumption for PRx.</t>
  </si>
  <si>
    <t>MTGs are likely to have similar cost structures as produce prescription boxes.</t>
  </si>
  <si>
    <t>In our conversations with a produce prescription box provider, they estimated that an $18.50 produce box contains $9-10 worth of food ($10 food procurement, $8.50 creation and distribution), and then requires up to an additional  $15 for last-mile delivery. Based on a $10 food cost and a total cost of $33.50, the proportion spent on only food for PRx was assumed.</t>
  </si>
  <si>
    <t>While vouchers may appear to have largest proportional spend on food, vouchers are spent at retail sellers, where only about 15 cents per dollar ultimately reach farmers, compared to the direct purchasing of MTMs, MTGs, and PRx boxes.</t>
  </si>
  <si>
    <t>Number of people who have diet-relevant chronic conditions (Medicaid)</t>
  </si>
  <si>
    <t>Number of people who have diet-relevant chronic conditions (Medicare)</t>
  </si>
  <si>
    <t>Number of people who have diet-relevant chronic conditions (Private)</t>
  </si>
  <si>
    <t>Number of people who have diet-relevant chronic conditions (VA Health)</t>
  </si>
  <si>
    <t>Number of people who have diet-relevant chronic conditions and are below 185% FPL (Medicaid)</t>
  </si>
  <si>
    <t>Number of people who have diet-relevant chronic conditions and are below 185% FPL (Medicare)</t>
  </si>
  <si>
    <t>Number of people who have diet-relevant chronic conditions and are below 185% FPL (Private)</t>
  </si>
  <si>
    <t>Number of people who have diet-relevant chronic conditions and are below 185% FPL (VA Health)</t>
  </si>
  <si>
    <t>Total FIM expenditures - CC</t>
  </si>
  <si>
    <t>Total FIM expenditures - CC (Medicaid)</t>
  </si>
  <si>
    <t>Total FIM expenditures - CC (Medicare)</t>
  </si>
  <si>
    <t>Total FIM expenditures - CC (Private)</t>
  </si>
  <si>
    <t>Total FIM expenditures - CC (VA Health)</t>
  </si>
  <si>
    <t>Total FIM expenditures - FPL</t>
  </si>
  <si>
    <t>Total FIM expenditures - FPL (Medicaid)</t>
  </si>
  <si>
    <t>Total FIM expenditures - FPL (Medicare)</t>
  </si>
  <si>
    <t>Total FIM expenditures - FPL (Private)</t>
  </si>
  <si>
    <t>Total FIM expenditures - FPL (VA Health)</t>
  </si>
  <si>
    <t>Total FIM expenditures - Food insecure</t>
  </si>
  <si>
    <t xml:space="preserve">Proportion of Medicaid insurance holders </t>
  </si>
  <si>
    <t>Total state population (Medicaid)</t>
  </si>
  <si>
    <t>Proportion of Medicare insurance holders</t>
  </si>
  <si>
    <t>Total state population (Medicare)</t>
  </si>
  <si>
    <t xml:space="preserve">Source </t>
  </si>
  <si>
    <t>Proportion of Private insurance holders</t>
  </si>
  <si>
    <t>Total state population (Private)</t>
  </si>
  <si>
    <t xml:space="preserve">Proportion of VA health care holders </t>
  </si>
  <si>
    <t>Total state population (VA Health)</t>
  </si>
  <si>
    <t>Sample size</t>
  </si>
  <si>
    <t>% of people with a chronic condition (Medicaid)</t>
  </si>
  <si>
    <t>% of people with chronic conditions who could benefit from FIM interventions (Medicaid)</t>
  </si>
  <si>
    <t>% of people with a chronic condition (Medicare)</t>
  </si>
  <si>
    <t>% of people with chronic conditions who could benefit from FIM interventions (Medicare)</t>
  </si>
  <si>
    <t>Number of Medicare insurance holders with chronic conditions</t>
  </si>
  <si>
    <t>% of people with a chronic condition (VA Health)</t>
  </si>
  <si>
    <t>% of people with chronic conditions who could benefit from FIM interventions (VA Health)</t>
  </si>
  <si>
    <t>Number of VA insurance holders with chronic conditions</t>
  </si>
  <si>
    <t>% of people with a chronic condition (Private)</t>
  </si>
  <si>
    <t>% of people with chronic conditions who could benefit from FIM interventions (Private)</t>
  </si>
  <si>
    <t>Number of private insurance holders with chronic conditions</t>
  </si>
  <si>
    <t>% of people with a chronic condition (185% FPL) (Medicaid)</t>
  </si>
  <si>
    <t>% of people with chronic conditions who could benefit from FIM interventions (185% FPL) (Medicaid)</t>
  </si>
  <si>
    <t>% of people with a chronic condition (185% FPL) (Medicare)</t>
  </si>
  <si>
    <t>% of people with chronic conditions who could benefit from FIM interventions (185% FPL) (Medicare)</t>
  </si>
  <si>
    <t>% of people with a chronic condition (185% FPL) (VA Health)</t>
  </si>
  <si>
    <t>% of people with chronic conditions who could benefit from FIM interventions (185% FPL) (VA Health)</t>
  </si>
  <si>
    <t>% of people with a chronic condition (185% FPL) (Private)</t>
  </si>
  <si>
    <t>% of people with chronic conditions who could benefit from FIM interventions (185% FPL) (Private)</t>
  </si>
  <si>
    <t>https://www.kff.org/state-health-policy-data/state-indicator/total-population/?currentTimeframe=0&amp;sortModel=%7B%22colId%22:%22Location%22,%22sort%22:%22asc%22%7D</t>
  </si>
  <si>
    <t>https://www.census.gov/library/visualizations/interactive/health-insurance-coverage-and-type-by-state.html</t>
  </si>
  <si>
    <t>ALL-COPIED FROM GENERAL POP</t>
  </si>
  <si>
    <t>Number of people with a chronic condition</t>
  </si>
  <si>
    <t>Number of people with chronic conditions who could benefit from FIM interventions</t>
  </si>
  <si>
    <t>Number of people with a chronic condition (185% FPL)</t>
  </si>
  <si>
    <t>Number of people who are food insecure</t>
  </si>
  <si>
    <t>https://www.kff.org/state-health-policy-data/state-indicator/adults-ages-18-64-who-report-having-chronic-conditions/?currentTimeframe=0&amp;sortModel=%7B%22colId%22:%22Location%22,%22sort%22:%22asc%22%7D</t>
  </si>
  <si>
    <t>https://www.ers.usda.gov/topics/food-nutrition-assistance/food-security-in-the-us/key-statistics-graphics</t>
  </si>
  <si>
    <t>Total MTM expenditures - CC</t>
  </si>
  <si>
    <t>Total MTG expenditures - CC</t>
  </si>
  <si>
    <t>Total PRx vouchers expenditures - CC</t>
  </si>
  <si>
    <t>Total PRx expenditures box- CC</t>
  </si>
  <si>
    <t>Total MTM expenditures - CC (Medicaid)</t>
  </si>
  <si>
    <t>Total MTG expenditures - CC (Medicaid)</t>
  </si>
  <si>
    <t>Total PRx vouchers expenditures - CC (Medicaid)</t>
  </si>
  <si>
    <t>Total PRx expenditures box- CC (Medicaid)</t>
  </si>
  <si>
    <t>Total MTM expenditures - CC (Medicare)</t>
  </si>
  <si>
    <t>Total MTG expenditures - CC (Medicare)</t>
  </si>
  <si>
    <t>Total PRx vouchers expenditures - CC (Medicare)</t>
  </si>
  <si>
    <t>Total PRx expenditures box- CC (Medicare)</t>
  </si>
  <si>
    <t>Total MTM expenditures - CC (Private)</t>
  </si>
  <si>
    <t>Total MTG expenditures - CC (Private)</t>
  </si>
  <si>
    <t>Total PRx vouchers expenditures - CC (Private)</t>
  </si>
  <si>
    <t>Total PRx expenditures box- CC (Private)</t>
  </si>
  <si>
    <t>Total MTM expenditures - CC (VA Health)</t>
  </si>
  <si>
    <t>Total MTG expenditures - CC (VA Health)</t>
  </si>
  <si>
    <t>Total PRx vouchers expenditures - CC (VA Health)</t>
  </si>
  <si>
    <t>Total PRx expenditures box- CC (VA Health)</t>
  </si>
  <si>
    <t>Total MTM expenditures - FPL</t>
  </si>
  <si>
    <t>Total MTG expenditures - FPL</t>
  </si>
  <si>
    <t>Total PRx vouchers expenditures - FPL</t>
  </si>
  <si>
    <t>Total PRx expenditures box- FPL</t>
  </si>
  <si>
    <t>Total MTM expenditures - FPL (Medicaid)</t>
  </si>
  <si>
    <t>Total MTG expenditures - FPL (Medicaid)</t>
  </si>
  <si>
    <t>Total PRx vouchers expenditures - FPL (Medicaid)</t>
  </si>
  <si>
    <t>Total PRx expenditures box- FPL (Medicaid)</t>
  </si>
  <si>
    <t>Total MTM expenditures - FPL (Medicare)</t>
  </si>
  <si>
    <t>Total MTG expenditures - FPL (Medicare)</t>
  </si>
  <si>
    <t>Total PRx vouchers expenditures - FPL (Medicare)</t>
  </si>
  <si>
    <t>Total PRx expenditures box- FPL (Medicare)</t>
  </si>
  <si>
    <t>Total MTM expenditures - FPL (Private)</t>
  </si>
  <si>
    <t>Total MTG expenditures - FPL (Private)</t>
  </si>
  <si>
    <t>Total PRx vouchers expenditures - FPL (Private)</t>
  </si>
  <si>
    <t>Total PRx expenditures box- FPL (Private)</t>
  </si>
  <si>
    <t>Total MTM expenditures - FPL (VA Health)</t>
  </si>
  <si>
    <t>Total MTG expenditures - FPL (VA Health)</t>
  </si>
  <si>
    <t>Total PRx vouchers expenditures - FPL (VA Health)</t>
  </si>
  <si>
    <t>Total PRx expenditures box- FPL (VA Health)</t>
  </si>
  <si>
    <t>Total MTM expenditures - Food insecure</t>
  </si>
  <si>
    <t>Total MTG expenditures - Food insecure</t>
  </si>
  <si>
    <t>Total PRx vouchers expenditures - Food insecure</t>
  </si>
  <si>
    <t>Total PRx expenditures box- Food insecure</t>
  </si>
  <si>
    <t>Notes</t>
  </si>
  <si>
    <t>MTM mean program expense per meal</t>
  </si>
  <si>
    <t>PRx cost per voucher</t>
  </si>
  <si>
    <t>PRx cost per box</t>
  </si>
  <si>
    <t>Fully burdened MTM-related expenditures, including labor; overhead; contracting; and direct expenses such as materials (food and packaging) and delivery</t>
  </si>
  <si>
    <t>https://pmc.ncbi.nlm.nih.gov/articles/PMC10492976/</t>
  </si>
  <si>
    <t xml:space="preserve"> The interventions offered a weighted mean of $42/month of fruits and vegetables to the targeted population; and after subtracting unused vouchers, patients redeemed a weighted mean of $32/month.</t>
  </si>
  <si>
    <t>https://www.momsmeals.com/our-food-programs/medically-tailored-meals/</t>
  </si>
  <si>
    <t>all meals are $9.49 or less and we have numerous options at $7.9</t>
  </si>
  <si>
    <t>https://phoenixmed.arizona.edu/culinary-medicine/farm-fresh</t>
  </si>
  <si>
    <t xml:space="preserve">The cost of each box is $12, which is subsidized generously from The Family Medicine Department Foundation Fund. </t>
  </si>
  <si>
    <t>https://www.dhcs.ca.gov/Documents/MCQMD/May-Community-Supports-Spotlight-Medically-Tailored-Meals.pdf</t>
  </si>
  <si>
    <t>Participants receive
$20-40 per month for
6 months in F&amp;V
vouchers
redeemable at
partnering vendors</t>
  </si>
  <si>
    <t>https://www.farmfreshtoyou.com/producer/508/california-farms?srsltid=AfmBOopbo-SFG1qa-0_ho8RpaH4bRuR4iR1L2Nnz-4SbeAsB0PAwWRqE</t>
  </si>
  <si>
    <t>https://www.ahajournals.org/doi/epub/10.1161/CIRCOUTCOMES.122.009520</t>
  </si>
  <si>
    <t>https://www.swflproduce.com/product-category/co-op-boxes-subscription/</t>
  </si>
  <si>
    <t>https://portal.nifa.usda.gov/web/crisprojectpages/1033545-west-oahu-produce-rx-program-woprx.html</t>
  </si>
  <si>
    <t>Each delivery will include an educational resource and a curated Farmer's Choice produce box worth $45, for a total of up to $1,080 in Produce Rx incentives per participant over 12 months.</t>
  </si>
  <si>
    <t>https://ldh.la.gov/assets/docs/OAAS/CCWForms/MTMs-Nutritional-Counseling-Policy.pdf</t>
  </si>
  <si>
    <t>The maximum cost of MTMs is $8.49 per meal.</t>
  </si>
  <si>
    <t>https://www.umass.edu/public-health-sciences/news/produce-prescription-programs</t>
  </si>
  <si>
    <t>They will then pick up $40-$80 worth of produce/month from the Go Fresh Mobile Market operating sites around Springfield and receive recipes and other nutritional information</t>
  </si>
  <si>
    <t>https://mow-nm.org/meals-services/</t>
  </si>
  <si>
    <t>Variable based on gross monthly income. Current pricing ranges from FREE to $13.93 per meal.</t>
  </si>
  <si>
    <t>https://www.ncdhhs.gov/healthy-opportunities-pilot-fee-schedule-and-service-definitions/open</t>
  </si>
  <si>
    <t>https://www.triangleunitedgrowers.com/shop/p/large-produce-box</t>
  </si>
  <si>
    <t>https://www.rimeals.org/wp-content/uploads/2024/05/Private_Pay_FAQ_5.21.24.pdf</t>
  </si>
  <si>
    <t>Each meal, consisting of a protein, a starch, a vegetable, bread, dessert, and
beverage, costs $9.50</t>
  </si>
  <si>
    <t>https://sph.uth.edu/research/centers/dell/legislative-initiatives/docs/2022/Produce-Prescription-Rx-Programs-0822.pdf</t>
  </si>
  <si>
    <t>Results of the program found that cost of participation was $12 per person, which included
produce costs, educational materials, and personnel costs to implement the program</t>
  </si>
  <si>
    <t>https://www.hca.wa.gov/assets/program/mtp-nutrition-supports-fee-schedule.pdf</t>
  </si>
  <si>
    <t xml:space="preserve">Up to $83.33/month </t>
  </si>
  <si>
    <t>Average</t>
  </si>
  <si>
    <t>Total value of locally sourced food for FIM - CC</t>
  </si>
  <si>
    <t>Total value of FIM expenditures retained in state - CC</t>
  </si>
  <si>
    <t>Total value of locally sourced food for FIM - CC (Medicaid)</t>
  </si>
  <si>
    <t>Total value of FIM expenditures retained in state - CC (Medicaid)</t>
  </si>
  <si>
    <t>Total value of locally sourced food for FIM - CC (Medicare)</t>
  </si>
  <si>
    <t>Total value of FIM expenditures retained in state - CC (Medicare)</t>
  </si>
  <si>
    <t>Total value of locally sourced food for FIM - CC (Private)</t>
  </si>
  <si>
    <t>Total value of FIM expenditures retained in state - CC (Private)</t>
  </si>
  <si>
    <t>Total value of locally sourced food for FIM - CC (VA Health)</t>
  </si>
  <si>
    <t>Total value of FIM expenditures retained in state - CC (VA Health)</t>
  </si>
  <si>
    <t>Total value of locally sourced food for FIM - FPL</t>
  </si>
  <si>
    <t>Total value of FIM expenditures retained in state - FPL</t>
  </si>
  <si>
    <t>Total value of locally sourced food for FIM - FPL (Medicaid)</t>
  </si>
  <si>
    <t>Total value of FIM expenditures retained in state - FPL (Medicaid)</t>
  </si>
  <si>
    <t>Total value of locally sourced food for FIM - FPL (Medicare)</t>
  </si>
  <si>
    <t>Total value of FIM expenditures retained in state - FPL (Medicare)</t>
  </si>
  <si>
    <t>Total value of locally sourced food for FIM - FPL (Private)</t>
  </si>
  <si>
    <t>Total value of FIM expenditures retained in state - FPL (Private)</t>
  </si>
  <si>
    <t>Total value of locally sourced food for FIM - FPL (VA Health)</t>
  </si>
  <si>
    <t>Total value of FIM expenditures retained in state - FPL (VA Health)</t>
  </si>
  <si>
    <t>Total value of locally sourced food for FIM - Food insecure</t>
  </si>
  <si>
    <t>Total value of FIM expenditures retained in state - Food insecure</t>
  </si>
  <si>
    <t>Total volume of locally sourced foods for FIM interventions (tons) - CC</t>
  </si>
  <si>
    <t>Total volume of locally sourced foods for FIM interventions (tons) - CC (Medicaid)</t>
  </si>
  <si>
    <t>Total volume of locally sourced foods for FIM interventions (tons) - CC (Medicare)</t>
  </si>
  <si>
    <t>Total volume of locally sourced foods for FIM interventions (tons) - CC (Private)</t>
  </si>
  <si>
    <t>Total volume of locally sourced foods for FIM interventions (tons) - CC (VA Health)</t>
  </si>
  <si>
    <t>Total volume of locally sourced foods for FIM interventions (tons) - FPL</t>
  </si>
  <si>
    <t>Total volume of locally sourced foods for FIM interventions (tons) - FPL (Medicaid)</t>
  </si>
  <si>
    <t>Total volume of locally sourced foods for FIM interventions (tons) - FPL (Medicare)</t>
  </si>
  <si>
    <t>Total volume of locally sourced foods for FIM interventions (tons) - FPL (Private)</t>
  </si>
  <si>
    <t>Total volume of locally sourced foods for FIM interventions (tons) - FPL (VA Health)</t>
  </si>
  <si>
    <t>Total volume of locally sourced foods for FIM interventions (tons) - Food insecure</t>
  </si>
  <si>
    <t>Total value of locally sourced food for MTMs - CC</t>
  </si>
  <si>
    <t>Total value of locally sourced food for MTGs - CC</t>
  </si>
  <si>
    <t>Total value of locally sourced food for PRx vouchers - CC</t>
  </si>
  <si>
    <t>Total value of locally sourced food for PRx box - CC</t>
  </si>
  <si>
    <t>Total value of locally sourced food for MTMs - CC (Medicaid)</t>
  </si>
  <si>
    <t>Total value of locally sourced food for MTGs - CC (Medicaid)</t>
  </si>
  <si>
    <t>Total value of locally sourced food for PRx vouchers - CC (Medicaid)</t>
  </si>
  <si>
    <t>Total value of locally sourced food for PRx box - CC (Medicaid)</t>
  </si>
  <si>
    <t>Total value of locally sourced food for MTMs - CC (Medicare)</t>
  </si>
  <si>
    <t>Total value of locally sourced food for MTGs - CC (Medicare)</t>
  </si>
  <si>
    <t>Total value of locally sourced food for PRx vouchers - CC (Medicare)</t>
  </si>
  <si>
    <t>Total value of locally sourced food for PRx box - CC (Medicare)</t>
  </si>
  <si>
    <t>Total value of locally sourced food for MTMs - CC (Private)</t>
  </si>
  <si>
    <t>Total value of locally sourced food for MTGs - CC (Private)</t>
  </si>
  <si>
    <t>Total value of locally sourced food for PRx vouchers - CC (Private)</t>
  </si>
  <si>
    <t>Total value of locally sourced food for PRx box - CC (Private)</t>
  </si>
  <si>
    <t>Total value of locally sourced food for MTMs - CC (VA Health)</t>
  </si>
  <si>
    <t>Total value of locally sourced food for MTGs - CC (VA Health)</t>
  </si>
  <si>
    <t>Total value of locally sourced food for PRx vouchers - CC (VA Health)</t>
  </si>
  <si>
    <t>Total value of locally sourced food for PRx box - CC (VA Health)</t>
  </si>
  <si>
    <t>Total value of MTM expenditures retained in state - CC</t>
  </si>
  <si>
    <t>Total value of MTG expenditures retained in state - CC</t>
  </si>
  <si>
    <t>Total value of PRx vouchers expenditures retained in state - CC</t>
  </si>
  <si>
    <t>Total value of PRx box expenditures retained in state - CC</t>
  </si>
  <si>
    <t>Total value of MTM expenditures retained in state - CC (Medicaid)</t>
  </si>
  <si>
    <t>Total value of MTG expenditures retained in state - CC (Medicaid)</t>
  </si>
  <si>
    <t>Total value of PRx vouchers expenditures retained in state - CC (Medicaid)</t>
  </si>
  <si>
    <t>Total value of PRx box expenditures retained in state - CC (Medicaid)</t>
  </si>
  <si>
    <t>Total value of MTM expenditures retained in state - CC (Medicare)</t>
  </si>
  <si>
    <t>Total value of MTG expenditures retained in state - CC (Medicare)</t>
  </si>
  <si>
    <t>Total value of PRx vouchers expenditures retained in state - CC (Medicare)</t>
  </si>
  <si>
    <t>Total value of PRx box expenditures retained in state - CC (Medicare)</t>
  </si>
  <si>
    <t>Total value of MTM expenditures retained in state - CC (Private)</t>
  </si>
  <si>
    <t>Total value of MTG expenditures retained in state - CC (Private)</t>
  </si>
  <si>
    <t>Total value of PRx vouchers expenditures retained in state - CC (Private)</t>
  </si>
  <si>
    <t>Total value of PRx box expenditures retained in state - CC (Private)</t>
  </si>
  <si>
    <t>Total value of MTM expenditures retained in state - CC (VA Health)</t>
  </si>
  <si>
    <t>Total value of MTG expenditures retained in state - CC (VA Health)</t>
  </si>
  <si>
    <t>Total value of PRx vouchers expenditures retained in state - CC (VA Health)</t>
  </si>
  <si>
    <t>Total value of PRx box expenditures retained in state - CC (VA Health)</t>
  </si>
  <si>
    <t>Total value of locally sourced food for MTMs - FPL</t>
  </si>
  <si>
    <t>Total value of locally sourced food for MTGs - FPL</t>
  </si>
  <si>
    <t>Total value of locally sourced food for PRx vouchers - FPL</t>
  </si>
  <si>
    <t>Total value of locally sourced food for PRx box - FPL</t>
  </si>
  <si>
    <t>Total value of locally sourced food for MTMs - FPL (Medicaid)</t>
  </si>
  <si>
    <t>Total value of locally sourced food for MTGs - FPL (Medicaid)</t>
  </si>
  <si>
    <t>Total value of locally sourced food for PRx vouchers - FPL (Medicaid)</t>
  </si>
  <si>
    <t>Total value of locally sourced food for PRx box - FPL (Medicaid)</t>
  </si>
  <si>
    <t>Total value of locally sourced food for MTMs - FPL (Medicare)</t>
  </si>
  <si>
    <t>Total value of locally sourced food for MTGs - FPL (Medicare)</t>
  </si>
  <si>
    <t>Total value of locally sourced food for PRx vouchers - FPL (Medicare)</t>
  </si>
  <si>
    <t>Total value of locally sourced food for PRx box - FPL (Medicare)</t>
  </si>
  <si>
    <t>Total value of locally sourced food for MTMs - FPL (Private)</t>
  </si>
  <si>
    <t>Total value of locally sourced food for MTGs - FPL (Private)</t>
  </si>
  <si>
    <t>Total value of locally sourced food for PRx vouchers - FPL (Private)</t>
  </si>
  <si>
    <t>Total value of locally sourced food for PRx box - FPL (Private)</t>
  </si>
  <si>
    <t>Total value of locally sourced food for MTMs - FPL (VA Health)</t>
  </si>
  <si>
    <t>Total value of locally sourced food for MTGs - FPL (VA Health)</t>
  </si>
  <si>
    <t>Total value of locally sourced food for PRx vouchers - FPL (VA Health)</t>
  </si>
  <si>
    <t>Total value of locally sourced food for PRx box - FPL (VA Health)</t>
  </si>
  <si>
    <t>Total value of MTM expenditures retained in state - FPL</t>
  </si>
  <si>
    <t>Total value of MTG expenditures retained in state - FPL</t>
  </si>
  <si>
    <t>Total value of PRx vouchers expenditures retained in state - FPL</t>
  </si>
  <si>
    <t>Total value of PRx box expenditures retained in state - FPL</t>
  </si>
  <si>
    <t>Total value of MTM expenditures retained in state - FPL (Medicaid)</t>
  </si>
  <si>
    <t>Total value of MTG expenditures retained in state - FPL (Medicaid)</t>
  </si>
  <si>
    <t>Total value of PRx vouchers expenditures retained in state - FPL (Medicaid)</t>
  </si>
  <si>
    <t>Total value of PRx box expenditures retained in state - FPL (Medicaid)</t>
  </si>
  <si>
    <t>Total value of MTM expenditures retained in state - FPL (Medicare)</t>
  </si>
  <si>
    <t>Total value of MTG expenditures retained in state - PLP (Medicare)</t>
  </si>
  <si>
    <t>Total value of PRx vouchers expenditures retained in state - FPL (Medicare)</t>
  </si>
  <si>
    <t>Total value of PRx box expenditures retained in state - FPL (Medicare)</t>
  </si>
  <si>
    <t>Total value of MTM expenditures retained in state - FPL (Private)</t>
  </si>
  <si>
    <t>Total value of MTG expenditures retained in state - FPL (Private)</t>
  </si>
  <si>
    <t>Total value of PRx vouchers expenditures retained in state - FPL (Private)</t>
  </si>
  <si>
    <t>Total value of PRx box expenditures retained in state - FPL (Private)</t>
  </si>
  <si>
    <t>Total value of MTM expenditures retained in state - FPL (VA Health)</t>
  </si>
  <si>
    <t>Total value of MTG expenditures retained in state - FPL (VA Health)</t>
  </si>
  <si>
    <t>Total value of PRx vouchers expenditures retained in state - FPL (VA Health)</t>
  </si>
  <si>
    <t>Total value of PRx box expenditures retained in state - FPL (VA Health)</t>
  </si>
  <si>
    <t>Total value of locally sourced food for MTMs - Food insecure</t>
  </si>
  <si>
    <t>Total value of locally sourced food for MTGs -  Food insecure</t>
  </si>
  <si>
    <t>Total value of locally sourced food for PRx vouchers -  Food insecure</t>
  </si>
  <si>
    <t>Total value of locally sourced food for PRx box -  Food insecure</t>
  </si>
  <si>
    <t>Total value of MTM expenditures retained in state - Food insecure</t>
  </si>
  <si>
    <t>Total value of MTG expenditures retained in state - Food insecure</t>
  </si>
  <si>
    <t>Total value of PRx vouchers expenditures retained in state - Food insecure</t>
  </si>
  <si>
    <t>Total value of PRx box expenditures retained in state - Food insecure</t>
  </si>
  <si>
    <t>Agricultural commodity diversification index</t>
  </si>
  <si>
    <t>Availability of locally produced food ranking</t>
  </si>
  <si>
    <t>Locally sourced food index</t>
  </si>
  <si>
    <t>https://dyson.cornell.edu/wp-content/uploads/sites/5/2019/02/Cornell-Dyson-eb1807.pdf</t>
  </si>
  <si>
    <t>https://www.escoffier.edu/blog/world-food-drink/analysis-of-local-food-production/</t>
  </si>
  <si>
    <t>75th percentil</t>
  </si>
  <si>
    <t>25th percentile</t>
  </si>
  <si>
    <t>Median</t>
  </si>
  <si>
    <t>Souce</t>
  </si>
  <si>
    <t>Average price of vegetables per pound</t>
  </si>
  <si>
    <t>Average price of fruits per pound</t>
  </si>
  <si>
    <t>Average price of grains per pound</t>
  </si>
  <si>
    <t>Average price of meat per pound</t>
  </si>
  <si>
    <t>Average price of nuts per pound</t>
  </si>
  <si>
    <t>Average price of dairy per pound</t>
  </si>
  <si>
    <t>Proportion of vegetables in MTMs/MTGs/PRx</t>
  </si>
  <si>
    <t>Proportion of fruits in MTMs/MTGs/PRx</t>
  </si>
  <si>
    <t>Proportion of grains in MTMs/MTGs/PRx</t>
  </si>
  <si>
    <t>Proportion of meat in MTMs/MTGs/PRx</t>
  </si>
  <si>
    <t>Proportion of nuts in MTMs/MTGs/PRx</t>
  </si>
  <si>
    <t>Proportion of dairy in MTMs/MTGs/PRx</t>
  </si>
  <si>
    <t>Vegetables volume for MTMs/MTGs/PRx</t>
  </si>
  <si>
    <t>Fruits volume for MTMs/MTGs/PRx</t>
  </si>
  <si>
    <t>Grains volume for MTMs/MTGs/PRx</t>
  </si>
  <si>
    <t>Meat volume for MTMs/MTGs/PRx</t>
  </si>
  <si>
    <t>Nuts volume for MTMs/MTGs/PRx</t>
  </si>
  <si>
    <t>Dairy volume for MTMs/MTGs/PRx</t>
  </si>
  <si>
    <t>Total volume of locally sourced food for MTMs - CC</t>
  </si>
  <si>
    <t>Total volume of locally sourced food for MTGs - CC</t>
  </si>
  <si>
    <t>Total volume of locally sourced food for PRx vouchers - CC</t>
  </si>
  <si>
    <t>Total volume of locally sourced food for PRx box - CC</t>
  </si>
  <si>
    <t>Total volume of locally sourced food for MTMs - CC (Medicaid)</t>
  </si>
  <si>
    <t>Total volume of locally sourced food for MTGs - CC (Medicaid)</t>
  </si>
  <si>
    <t>Total volume of locally sourced food for PRx vouchers - CC (Medicaid)</t>
  </si>
  <si>
    <t>Total volume of locally sourced food for PRx box - CC (Medicaid)</t>
  </si>
  <si>
    <t>Total volume of locally sourced food for MTMs - CC (Medicare)</t>
  </si>
  <si>
    <t>Total volume of locally sourced food for MTGs - CC (Medicare)</t>
  </si>
  <si>
    <t>Total volume of locally sourced food for PRx vouchers - CC (Medicare)</t>
  </si>
  <si>
    <t>Total volume of locally sourced food for PRx box - CC (Medicare)</t>
  </si>
  <si>
    <t>Total volume of locally sourced food for MTMs - CC (Private)</t>
  </si>
  <si>
    <t>Total volume of locally sourced food for MTGs - CC (Private)</t>
  </si>
  <si>
    <t>Total volume of locally sourced food for PRx vouchers - CC (Private)</t>
  </si>
  <si>
    <t>Total volume of locally sourced food for PRx box - CC (Private)</t>
  </si>
  <si>
    <t>Total volume of locally sourced food for MTMs - CC (VA Health)</t>
  </si>
  <si>
    <t>Total volume of locally sourced food for MTGs - CC (VA Health)</t>
  </si>
  <si>
    <t>Total volume of locally sourced food for PRx vouchers - CC (VA Health)</t>
  </si>
  <si>
    <t>Total volume of locally sourced food for PRx box - CC (VA Health)</t>
  </si>
  <si>
    <t>Total volume of locally sourced food for MTMs - FPL</t>
  </si>
  <si>
    <t>Total volume of locally sourced food for MTGs - FPL</t>
  </si>
  <si>
    <t>Total volume of locally sourced food for PRx vouchers - FPL</t>
  </si>
  <si>
    <t>Total volume of locally sourced food for PRx box - FPL</t>
  </si>
  <si>
    <t>Total volume of locally sourced food for MTMs - FPL (Medicaid)</t>
  </si>
  <si>
    <t>Total volume of locally sourced food for MTGs - FPL (Medicaid)</t>
  </si>
  <si>
    <t>Total volume of locally sourced food for PRx vouchers - FPL (Medicaid)</t>
  </si>
  <si>
    <t>Total volume of locally sourced food for PRx box - FPL (Medicaid)</t>
  </si>
  <si>
    <t>Total volume of locally sourced food for MTMs - FPL (Medicare)</t>
  </si>
  <si>
    <t>Total volume of locally sourced food for MTGs - FPL (Medicare)</t>
  </si>
  <si>
    <t>Total volume of locally sourced food for PRx vouchers - FPL (Medicare)</t>
  </si>
  <si>
    <t>Total volume of locally sourced food for PRx box - FPL (Medicare)</t>
  </si>
  <si>
    <t>Total volume of locally sourced food for MTMs - FPL (Private)</t>
  </si>
  <si>
    <t>Total volume of locally sourced food for MTGs - FPL (Private)</t>
  </si>
  <si>
    <t>Total volume of locally sourced food for PRx vouchers - FPL (Private)</t>
  </si>
  <si>
    <t>Total volume of locally sourced food for PRx box - FPL (Private)</t>
  </si>
  <si>
    <t>Total volume of locally sourced food for MTMs - FPL (VA Health)</t>
  </si>
  <si>
    <t>Total volume of locally sourced food for MTGs - FPL (VA Health)</t>
  </si>
  <si>
    <t>Total volume of locally sourced food for PRx vouchers - FPL (VA Health)</t>
  </si>
  <si>
    <t>Total volume of locally sourced food for PRx box - FPL (VA Health)</t>
  </si>
  <si>
    <t>Total volume of locally sourced food for MTMs - Food insecure</t>
  </si>
  <si>
    <t>Total volume of locally sourced food for MTGs - Food insecure</t>
  </si>
  <si>
    <t>Total volume of locally sourced food for PRx vouchers - Food insecure</t>
  </si>
  <si>
    <t>Total volume of locally sourced food for PRx box - Food insecure</t>
  </si>
  <si>
    <t>https://www.dietaryguidelines.gov/sites/default/files/2021-03/Dietary_Guidelines_for_Americans-2020-2025.pdf</t>
  </si>
  <si>
    <t>Income to small family farmers - CC</t>
  </si>
  <si>
    <t>Number of small family farms supported - CC</t>
  </si>
  <si>
    <t>Income to medium family farmers - CC</t>
  </si>
  <si>
    <t>Number of medium family farms supported - CC</t>
  </si>
  <si>
    <t>Number of acres impacted by FIM - CC</t>
  </si>
  <si>
    <t>Income to small family farmers - CC (Medicaid)</t>
  </si>
  <si>
    <t>Number of small family farms supported - CC (Medicaid)</t>
  </si>
  <si>
    <t>Income to medium family farmers - CC (Medicaid)</t>
  </si>
  <si>
    <t>Number of medium family farms supported - CC (Medicaid)</t>
  </si>
  <si>
    <t>Number of acres impacted by FIM - CC (Medicaid)</t>
  </si>
  <si>
    <t>Income to small family farmers - CC (Medicare)</t>
  </si>
  <si>
    <t>Number of small family farms supported - CC (Medicare)</t>
  </si>
  <si>
    <t>Income to medium family farmers - CC (Medicare)</t>
  </si>
  <si>
    <t>Number of medium family farms supported - CC (Medicare)</t>
  </si>
  <si>
    <t>Number of acres impacted by FIM - CC (Medicare)</t>
  </si>
  <si>
    <t>Income to small family farmers - CC (Private)</t>
  </si>
  <si>
    <t>Number of small family farms supported - CC (Private)</t>
  </si>
  <si>
    <t>Income to medium family farmers - CC (Private)</t>
  </si>
  <si>
    <t>Number of medium family farms supported - CC (Private)</t>
  </si>
  <si>
    <t>Number of acres impacted by FIM - CC (Private)</t>
  </si>
  <si>
    <t>Income to small family farmers - CC (VA Health)</t>
  </si>
  <si>
    <t>Number of small family farms supported - CC (VA Health)</t>
  </si>
  <si>
    <t>Income to medium family farmers - CC (VA Health)</t>
  </si>
  <si>
    <t>Number of medium family farms supported - CC (VA Health)</t>
  </si>
  <si>
    <t>Number of acres impacted by FIM - CC (VA Health)</t>
  </si>
  <si>
    <t>Income to small family farmers - FPL</t>
  </si>
  <si>
    <t>Number of small family farms supported - FPL</t>
  </si>
  <si>
    <t>Income to medium family farmers - FPL</t>
  </si>
  <si>
    <t>Number of medium family farms supported - FPL</t>
  </si>
  <si>
    <t>Number of acres impacted by FIM - FPL</t>
  </si>
  <si>
    <t>Income to small family farmers - FPL (Medicaid)</t>
  </si>
  <si>
    <t>Number of small family farms supported - FPL (Medicaid)</t>
  </si>
  <si>
    <t>Income to medium family farmers - FPL (Medicaid)</t>
  </si>
  <si>
    <t>Number of medium family farms supported - FPL (Medicaid)</t>
  </si>
  <si>
    <t>Number of acres impacted by FIM - FPL (Medicaid)</t>
  </si>
  <si>
    <t>Income to small family farmers - FPL (Medicare)</t>
  </si>
  <si>
    <t>Number of small family farms supported - FPL (Medicare)</t>
  </si>
  <si>
    <t>Income to medium family farmers - FPL (Medicare)</t>
  </si>
  <si>
    <t>Number of medium family farms supported - FPL (Medicare)</t>
  </si>
  <si>
    <t>Number of acres impacted by FIM - FPL (Medicare)</t>
  </si>
  <si>
    <t>Income to small family farmers - FPL (Private)</t>
  </si>
  <si>
    <t>Number of small family farms supported - FPL (Private)</t>
  </si>
  <si>
    <t>Income to medium family farmers - FPL (Private)</t>
  </si>
  <si>
    <t>Number of medium family farms supported - FPL (Private)</t>
  </si>
  <si>
    <t>Number of acres impacted by FIM - FPL (Private)</t>
  </si>
  <si>
    <t>Income to small family farmers - FPL (VA Health)</t>
  </si>
  <si>
    <t>Number of small family farms supported - FPL (VA Health)</t>
  </si>
  <si>
    <t>Income to medium family farmers - FPL (VA Health)</t>
  </si>
  <si>
    <t>Number of medium family farms supported - FPL (VA Health)</t>
  </si>
  <si>
    <t>Number of acres impacted by FIM - FPL (VA Health)</t>
  </si>
  <si>
    <t>Income to small family farmers - Food insecure</t>
  </si>
  <si>
    <t>Number of small family farms supported - Food insecure</t>
  </si>
  <si>
    <t>Income to medium family farmers - Food insecure</t>
  </si>
  <si>
    <t>Number of medium family farms supported - Food insecure</t>
  </si>
  <si>
    <t>Number of acres impacted by FIM - Food insecure</t>
  </si>
  <si>
    <t>Jobs created - CC</t>
  </si>
  <si>
    <t>Impact on GDP - CC</t>
  </si>
  <si>
    <t>Jobs created - CC (Medicaid)</t>
  </si>
  <si>
    <t>Impact on GDP - CC (Medicaid)</t>
  </si>
  <si>
    <t>Jobs created - CC (Medicare)</t>
  </si>
  <si>
    <t>Impact on GDP - CC (Medicare)</t>
  </si>
  <si>
    <t>Jobs created - CC (Private)</t>
  </si>
  <si>
    <t>Impact on GDP - CC (Private)</t>
  </si>
  <si>
    <t>Jobs created - CC (VA Health)</t>
  </si>
  <si>
    <t>Impact on GDP - CC (VA Health)</t>
  </si>
  <si>
    <t>Jobs created - FPL</t>
  </si>
  <si>
    <t>Impact on GDP - FPL</t>
  </si>
  <si>
    <t>Jobs created - FPL (Medicaid)</t>
  </si>
  <si>
    <t>Impact on GDP - FPL (Medicaid)</t>
  </si>
  <si>
    <t>Jobs created - FPL (Medicare)</t>
  </si>
  <si>
    <t>Impact on GDP - FPL (Medicare)</t>
  </si>
  <si>
    <t>Jobs created - FPL (Private)</t>
  </si>
  <si>
    <t>Impact on GDP - FPL (Private)</t>
  </si>
  <si>
    <t>Jobs created - FPL (VA Health)</t>
  </si>
  <si>
    <t>Impact on GDP - FPL (VA Health)</t>
  </si>
  <si>
    <t>Jobs created - Food insecure</t>
  </si>
  <si>
    <t>Impact on GDP - Food insecure</t>
  </si>
  <si>
    <t>Market value for rice ($1,000s)</t>
  </si>
  <si>
    <t>Market value for vegetables ($1,000s)</t>
  </si>
  <si>
    <t>Market value for fruits ($1,000s)</t>
  </si>
  <si>
    <t>Market value for milk from cows ($1,000s)</t>
  </si>
  <si>
    <t>Market value for poultry and eggs ($1,000s)</t>
  </si>
  <si>
    <t>Sources</t>
  </si>
  <si>
    <t>Small</t>
  </si>
  <si>
    <t>Medium</t>
  </si>
  <si>
    <t>Large</t>
  </si>
  <si>
    <t>Proportion small</t>
  </si>
  <si>
    <t>Proportion medium</t>
  </si>
  <si>
    <t>Total volume</t>
  </si>
  <si>
    <t>Combined</t>
  </si>
  <si>
    <t>https://www.nass.usda.gov/Publications/AgCensus/2022/Online_Resources/Typology/typology.pdf</t>
  </si>
  <si>
    <t>(D)</t>
  </si>
  <si>
    <t>-</t>
  </si>
  <si>
    <t>Farming GDP 2024 (current dollars)</t>
  </si>
  <si>
    <t>Farming share of GDP</t>
  </si>
  <si>
    <t>Total farming employment</t>
  </si>
  <si>
    <t>Farming share of total employment</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</si>
  <si>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19</t>
  </si>
  <si>
    <t>https://www.nass.usda.gov/Publications/AgCensus/2022/Full_Report/Volume_1,_Chapter_2_US_State_Level/st99_2_007_007.pdf</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</si>
  <si>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20</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</si>
  <si>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21</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</si>
  <si>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22</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</si>
  <si>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23</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</si>
  <si>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24</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</si>
  <si>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25</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</si>
  <si>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26</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</si>
  <si>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27</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</si>
  <si>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28</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</si>
  <si>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29</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</si>
  <si>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30</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</si>
  <si>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31</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</si>
  <si>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32</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</si>
  <si>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33</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</si>
  <si>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34</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</si>
  <si>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35</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</si>
  <si>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36</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</si>
  <si>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37</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</si>
  <si>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38</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</si>
  <si>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39</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</si>
  <si>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40</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</si>
  <si>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41</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</si>
  <si>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42</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</si>
  <si>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43</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</si>
  <si>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44</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</si>
  <si>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45</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</si>
  <si>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46</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</si>
  <si>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47</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</si>
  <si>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48</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</si>
  <si>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49</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</si>
  <si>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50</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</si>
  <si>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51</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</si>
  <si>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52</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</si>
  <si>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53</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</si>
  <si>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54</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</si>
  <si>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55</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</si>
  <si>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56</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</si>
  <si>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57</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</si>
  <si>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58</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</si>
  <si>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59</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</si>
  <si>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60</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</si>
  <si>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61</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</si>
  <si>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62</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</si>
  <si>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63</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</si>
  <si>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64</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</si>
  <si>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65</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</si>
  <si>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66</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</si>
  <si>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67</t>
  </si>
  <si>
    <t>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68</t>
  </si>
  <si>
    <t>Building Representative State Groupings in an Input-Output Model for the Development of an Economic Impact Calculator for Nutrition Incentive Programs - Allison Bauman, Philip Watson, Dawn Thilmany, Becca B.R. Jablonski, Courtney A. Parks, Taylor Kaminsky, Amy L. Yaroch, 2024</t>
  </si>
  <si>
    <t>Building Representative State Groupings in an Input-Output Model for the Development of an Economic Impact Calculator for Nutrition Incentive Programs - Allison Bauman, Philip Watson, Dawn Thilmany, Becca B.R. Jablonski, Courtney A. Parks, Taylor Kaminsky, Amy L. Yaroch, 2025</t>
  </si>
  <si>
    <t>Building Representative State Groupings in an Input-Output Model for the Development of an Economic Impact Calculator for Nutrition Incentive Programs - Allison Bauman, Philip Watson, Dawn Thilmany, Becca B.R. Jablonski, Courtney A. Parks, Taylor Kaminsky, Amy L. Yaroch, 2026</t>
  </si>
  <si>
    <t>Building Representative State Groupings in an Input-Output Model for the Development of an Economic Impact Calculator for Nutrition Incentive Programs - Allison Bauman, Philip Watson, Dawn Thilmany, Becca B.R. Jablonski, Courtney A. Parks, Taylor Kaminsky, Amy L. Yaroch, 2027</t>
  </si>
  <si>
    <t>Building Representative State Groupings in an Input-Output Model for the Development of an Economic Impact Calculator for Nutrition Incentive Programs - Allison Bauman, Philip Watson, Dawn Thilmany, Becca B.R. Jablonski, Courtney A. Parks, Taylor Kaminsky, Amy L. Yaroch, 2028</t>
  </si>
  <si>
    <t>Building Representative State Groupings in an Input-Output Model for the Development of an Economic Impact Calculator for Nutrition Incentive Programs - Allison Bauman, Philip Watson, Dawn Thilmany, Becca B.R. Jablonski, Courtney A. Parks, Taylor Kaminsky, Amy L. Yaroch, 2029</t>
  </si>
  <si>
    <t>Building Representative State Groupings in an Input-Output Model for the Development of an Economic Impact Calculator for Nutrition Incentive Programs - Allison Bauman, Philip Watson, Dawn Thilmany, Becca B.R. Jablonski, Courtney A. Parks, Taylor Kaminsky, Amy L. Yaroch, 2030</t>
  </si>
  <si>
    <t>Building Representative State Groupings in an Input-Output Model for the Development of an Economic Impact Calculator for Nutrition Incentive Programs - Allison Bauman, Philip Watson, Dawn Thilmany, Becca B.R. Jablonski, Courtney A. Parks, Taylor Kaminsky, Amy L. Yaroch, 2031</t>
  </si>
  <si>
    <t>Building Representative State Groupings in an Input-Output Model for the Development of an Economic Impact Calculator for Nutrition Incentive Programs - Allison Bauman, Philip Watson, Dawn Thilmany, Becca B.R. Jablonski, Courtney A. Parks, Taylor Kaminsky, Amy L. Yaroch, 2032</t>
  </si>
  <si>
    <t>Building Representative State Groupings in an Input-Output Model for the Development of an Economic Impact Calculator for Nutrition Incentive Programs - Allison Bauman, Philip Watson, Dawn Thilmany, Becca B.R. Jablonski, Courtney A. Parks, Taylor Kaminsky, Amy L. Yaroch, 2033</t>
  </si>
  <si>
    <t>Building Representative State Groupings in an Input-Output Model for the Development of an Economic Impact Calculator for Nutrition Incentive Programs - Allison Bauman, Philip Watson, Dawn Thilmany, Becca B.R. Jablonski, Courtney A. Parks, Taylor Kaminsky, Amy L. Yaroch, 2034</t>
  </si>
  <si>
    <t>Building Representative State Groupings in an Input-Output Model for the Development of an Economic Impact Calculator for Nutrition Incentive Programs - Allison Bauman, Philip Watson, Dawn Thilmany, Becca B.R. Jablonski, Courtney A. Parks, Taylor Kaminsky, Amy L. Yaroch, 2035</t>
  </si>
  <si>
    <t>Building Representative State Groupings in an Input-Output Model for the Development of an Economic Impact Calculator for Nutrition Incentive Programs - Allison Bauman, Philip Watson, Dawn Thilmany, Becca B.R. Jablonski, Courtney A. Parks, Taylor Kaminsky, Amy L. Yaroch, 2036</t>
  </si>
  <si>
    <t>Building Representative State Groupings in an Input-Output Model for the Development of an Economic Impact Calculator for Nutrition Incentive Programs - Allison Bauman, Philip Watson, Dawn Thilmany, Becca B.R. Jablonski, Courtney A. Parks, Taylor Kaminsky, Amy L. Yaroch, 2037</t>
  </si>
  <si>
    <t>Building Representative State Groupings in an Input-Output Model for the Development of an Economic Impact Calculator for Nutrition Incentive Programs - Allison Bauman, Philip Watson, Dawn Thilmany, Becca B.R. Jablonski, Courtney A. Parks, Taylor Kaminsky, Amy L. Yaroch, 2038</t>
  </si>
  <si>
    <t>Building Representative State Groupings in an Input-Output Model for the Development of an Economic Impact Calculator for Nutrition Incentive Programs - Allison Bauman, Philip Watson, Dawn Thilmany, Becca B.R. Jablonski, Courtney A. Parks, Taylor Kaminsky, Amy L. Yaroch, 2039</t>
  </si>
  <si>
    <t>Building Representative State Groupings in an Input-Output Model for the Development of an Economic Impact Calculator for Nutrition Incentive Programs - Allison Bauman, Philip Watson, Dawn Thilmany, Becca B.R. Jablonski, Courtney A. Parks, Taylor Kaminsky, Amy L. Yaroch, 2040</t>
  </si>
  <si>
    <t>Building Representative State Groupings in an Input-Output Model for the Development of an Economic Impact Calculator for Nutrition Incentive Programs - Allison Bauman, Philip Watson, Dawn Thilmany, Becca B.R. Jablonski, Courtney A. Parks, Taylor Kaminsky, Amy L. Yaroch, 2041</t>
  </si>
  <si>
    <t>Building Representative State Groupings in an Input-Output Model for the Development of an Economic Impact Calculator for Nutrition Incentive Programs - Allison Bauman, Philip Watson, Dawn Thilmany, Becca B.R. Jablonski, Courtney A. Parks, Taylor Kaminsky, Amy L. Yaroch, 2042</t>
  </si>
  <si>
    <t>Building Representative State Groupings in an Input-Output Model for the Development of an Economic Impact Calculator for Nutrition Incentive Programs - Allison Bauman, Philip Watson, Dawn Thilmany, Becca B.R. Jablonski, Courtney A. Parks, Taylor Kaminsky, Amy L. Yaroch, 2043</t>
  </si>
  <si>
    <t>Building Representative State Groupings in an Input-Output Model for the Development of an Economic Impact Calculator for Nutrition Incentive Programs - Allison Bauman, Philip Watson, Dawn Thilmany, Becca B.R. Jablonski, Courtney A. Parks, Taylor Kaminsky, Amy L. Yaroch, 2044</t>
  </si>
  <si>
    <t>Building Representative State Groupings in an Input-Output Model for the Development of an Economic Impact Calculator for Nutrition Incentive Programs - Allison Bauman, Philip Watson, Dawn Thilmany, Becca B.R. Jablonski, Courtney A. Parks, Taylor Kaminsky, Amy L. Yaroch, 2045</t>
  </si>
  <si>
    <t>Building Representative State Groupings in an Input-Output Model for the Development of an Economic Impact Calculator for Nutrition Incentive Programs - Allison Bauman, Philip Watson, Dawn Thilmany, Becca B.R. Jablonski, Courtney A. Parks, Taylor Kaminsky, Amy L. Yaroch, 2046</t>
  </si>
  <si>
    <t>Building Representative State Groupings in an Input-Output Model for the Development of an Economic Impact Calculator for Nutrition Incentive Programs - Allison Bauman, Philip Watson, Dawn Thilmany, Becca B.R. Jablonski, Courtney A. Parks, Taylor Kaminsky, Amy L. Yaroch, 2047</t>
  </si>
  <si>
    <t>Building Representative State Groupings in an Input-Output Model for the Development of an Economic Impact Calculator for Nutrition Incentive Programs - Allison Bauman, Philip Watson, Dawn Thilmany, Becca B.R. Jablonski, Courtney A. Parks, Taylor Kaminsky, Amy L. Yaroch, 2048</t>
  </si>
  <si>
    <t>Building Representative State Groupings in an Input-Output Model for the Development of an Economic Impact Calculator for Nutrition Incentive Programs - Allison Bauman, Philip Watson, Dawn Thilmany, Becca B.R. Jablonski, Courtney A. Parks, Taylor Kaminsky, Amy L. Yaroch, 2049</t>
  </si>
  <si>
    <t>Building Representative State Groupings in an Input-Output Model for the Development of an Economic Impact Calculator for Nutrition Incentive Programs - Allison Bauman, Philip Watson, Dawn Thilmany, Becca B.R. Jablonski, Courtney A. Parks, Taylor Kaminsky, Amy L. Yaroch, 2050</t>
  </si>
  <si>
    <t>Building Representative State Groupings in an Input-Output Model for the Development of an Economic Impact Calculator for Nutrition Incentive Programs - Allison Bauman, Philip Watson, Dawn Thilmany, Becca B.R. Jablonski, Courtney A. Parks, Taylor Kaminsky, Amy L. Yaroch, 2051</t>
  </si>
  <si>
    <t>Building Representative State Groupings in an Input-Output Model for the Development of an Economic Impact Calculator for Nutrition Incentive Programs - Allison Bauman, Philip Watson, Dawn Thilmany, Becca B.R. Jablonski, Courtney A. Parks, Taylor Kaminsky, Amy L. Yaroch, 2052</t>
  </si>
  <si>
    <t>Building Representative State Groupings in an Input-Output Model for the Development of an Economic Impact Calculator for Nutrition Incentive Programs - Allison Bauman, Philip Watson, Dawn Thilmany, Becca B.R. Jablonski, Courtney A. Parks, Taylor Kaminsky, Amy L. Yaroch, 2053</t>
  </si>
  <si>
    <t>Building Representative State Groupings in an Input-Output Model for the Development of an Economic Impact Calculator for Nutrition Incentive Programs - Allison Bauman, Philip Watson, Dawn Thilmany, Becca B.R. Jablonski, Courtney A. Parks, Taylor Kaminsky, Amy L. Yaroch, 2054</t>
  </si>
  <si>
    <t>Building Representative State Groupings in an Input-Output Model for the Development of an Economic Impact Calculator for Nutrition Incentive Programs - Allison Bauman, Philip Watson, Dawn Thilmany, Becca B.R. Jablonski, Courtney A. Parks, Taylor Kaminsky, Amy L. Yaroch, 2055</t>
  </si>
  <si>
    <t>Building Representative State Groupings in an Input-Output Model for the Development of an Economic Impact Calculator for Nutrition Incentive Programs - Allison Bauman, Philip Watson, Dawn Thilmany, Becca B.R. Jablonski, Courtney A. Parks, Taylor Kaminsky, Amy L. Yaroch, 2056</t>
  </si>
  <si>
    <t>Building Representative State Groupings in an Input-Output Model for the Development of an Economic Impact Calculator for Nutrition Incentive Programs - Allison Bauman, Philip Watson, Dawn Thilmany, Becca B.R. Jablonski, Courtney A. Parks, Taylor Kaminsky, Amy L. Yaroch, 2057</t>
  </si>
  <si>
    <t>Building Representative State Groupings in an Input-Output Model for the Development of an Economic Impact Calculator for Nutrition Incentive Programs - Allison Bauman, Philip Watson, Dawn Thilmany, Becca B.R. Jablonski, Courtney A. Parks, Taylor Kaminsky, Amy L. Yaroch, 2058</t>
  </si>
  <si>
    <t>Building Representative State Groupings in an Input-Output Model for the Development of an Economic Impact Calculator for Nutrition Incentive Programs - Allison Bauman, Philip Watson, Dawn Thilmany, Becca B.R. Jablonski, Courtney A. Parks, Taylor Kaminsky, Amy L. Yaroch, 2059</t>
  </si>
  <si>
    <t>Building Representative State Groupings in an Input-Output Model for the Development of an Economic Impact Calculator for Nutrition Incentive Programs - Allison Bauman, Philip Watson, Dawn Thilmany, Becca B.R. Jablonski, Courtney A. Parks, Taylor Kaminsky, Amy L. Yaroch, 2060</t>
  </si>
  <si>
    <t>Building Representative State Groupings in an Input-Output Model for the Development of an Economic Impact Calculator for Nutrition Incentive Programs - Allison Bauman, Philip Watson, Dawn Thilmany, Becca B.R. Jablonski, Courtney A. Parks, Taylor Kaminsky, Amy L. Yaroch, 2061</t>
  </si>
  <si>
    <t>Building Representative State Groupings in an Input-Output Model for the Development of an Economic Impact Calculator for Nutrition Incentive Programs - Allison Bauman, Philip Watson, Dawn Thilmany, Becca B.R. Jablonski, Courtney A. Parks, Taylor Kaminsky, Amy L. Yaroch, 2062</t>
  </si>
  <si>
    <t>Building Representative State Groupings in an Input-Output Model for the Development of an Economic Impact Calculator for Nutrition Incentive Programs - Allison Bauman, Philip Watson, Dawn Thilmany, Becca B.R. Jablonski, Courtney A. Parks, Taylor Kaminsky, Amy L. Yaroch, 2063</t>
  </si>
  <si>
    <t>Building Representative State Groupings in an Input-Output Model for the Development of an Economic Impact Calculator for Nutrition Incentive Programs - Allison Bauman, Philip Watson, Dawn Thilmany, Becca B.R. Jablonski, Courtney A. Parks, Taylor Kaminsky, Amy L. Yaroch, 2064</t>
  </si>
  <si>
    <t>Building Representative State Groupings in an Input-Output Model for the Development of an Economic Impact Calculator for Nutrition Incentive Programs - Allison Bauman, Philip Watson, Dawn Thilmany, Becca B.R. Jablonski, Courtney A. Parks, Taylor Kaminsky, Amy L. Yaroch, 2065</t>
  </si>
  <si>
    <t>Building Representative State Groupings in an Input-Output Model for the Development of an Economic Impact Calculator for Nutrition Incentive Programs - Allison Bauman, Philip Watson, Dawn Thilmany, Becca B.R. Jablonski, Courtney A. Parks, Taylor Kaminsky, Amy L. Yaroch, 2066</t>
  </si>
  <si>
    <t>Building Representative State Groupings in an Input-Output Model for the Development of an Economic Impact Calculator for Nutrition Incentive Programs - Allison Bauman, Philip Watson, Dawn Thilmany, Becca B.R. Jablonski, Courtney A. Parks, Taylor Kaminsky, Amy L. Yaroch, 2067</t>
  </si>
  <si>
    <t>Building Representative State Groupings in an Input-Output Model for the Development of an Economic Impact Calculator for Nutrition Incentive Programs - Allison Bauman, Philip Watson, Dawn Thilmany, Becca B.R. Jablonski, Courtney A. Parks, Taylor Kaminsky, Amy L. Yaroch, 2068</t>
  </si>
  <si>
    <t>Building Representative State Groupings in an Input-Output Model for the Development of an Economic Impact Calculator for Nutrition Incentive Programs - Allison Bauman, Philip Watson, Dawn Thilmany, Becca B.R. Jablonski, Courtney A. Parks, Taylor Kaminsky, Amy L. Yaroch, 2069</t>
  </si>
  <si>
    <t>Building Representative State Groupings in an Input-Output Model for the Development of an Economic Impact Calculator for Nutrition Incentive Programs - Allison Bauman, Philip Watson, Dawn Thilmany, Becca B.R. Jablonski, Courtney A. Parks, Taylor Kaminsky, Amy L. Yaroch, 2070</t>
  </si>
  <si>
    <t>Building Representative State Groupings in an Input-Output Model for the Development of an Economic Impact Calculator for Nutrition Incentive Programs - Allison Bauman, Philip Watson, Dawn Thilmany, Becca B.R. Jablonski, Courtney A. Parks, Taylor Kaminsky, Amy L. Yaroch, 2071</t>
  </si>
  <si>
    <t>Building Representative State Groupings in an Input-Output Model for the Development of an Economic Impact Calculator for Nutrition Incentive Programs - Allison Bauman, Philip Watson, Dawn Thilmany, Becca B.R. Jablonski, Courtney A. Parks, Taylor Kaminsky, Amy L. Yaroch, 2072</t>
  </si>
  <si>
    <t>Building Representative State Groupings in an Input-Output Model for the Development of an Economic Impact Calculator for Nutrition Incentive Programs - Allison Bauman, Philip Watson, Dawn Thilmany, Becca B.R. Jablonski, Courtney A. Parks, Taylor Kaminsky, Amy L. Yaroch, 2073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</si>
</sst>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quot;$&quot;\ * #,##0.00_-;\-&quot;$&quot;\ * #,##0.00_-;_-&quot;$&quot;\ * &quot;-&quot;??_-;_-@_-"/>
    <numFmt numFmtId="165" formatCode="&quot;$&quot;#,##0"/>
    <numFmt numFmtId="166" formatCode="0.0%"/>
    <numFmt numFmtId="167" formatCode="_-&quot;$&quot;\ * #,##0_-;\-&quot;$&quot;\ * #,##0_-;_-&quot;$&quot;\ * &quot;-&quot;??_-;_-@_-"/>
    <numFmt numFmtId="168" formatCode="&quot;$&quot;#,##0.00"/>
    <numFmt numFmtId="169" formatCode="&quot;$&quot;\ #,##0"/>
  </numFmts>
  <fonts count="53">
    <font>
      <sz val="11"/>
      <color theme="1"/>
      <name val="Aptos Narrow"/>
      <family val="2"/>
      <scheme val="minor"/>
    </font>
    <font>
      <sz val="11"/>
      <color theme="1"/>
      <name val="Aptos Narrow"/>
      <family val="2"/>
      <scheme val="minor"/>
    </font>
    <font>
      <u/>
      <sz val="11"/>
      <color theme="10"/>
      <name val="Aptos Narrow"/>
      <family val="2"/>
      <scheme val="minor"/>
    </font>
    <font>
      <b/>
      <sz val="10"/>
      <color theme="1"/>
      <name val="Lato"/>
      <family val="2"/>
    </font>
    <font>
      <sz val="10"/>
      <color theme="1"/>
      <name val="Lato"/>
      <family val="2"/>
    </font>
    <font>
      <u/>
      <sz val="10"/>
      <color theme="10"/>
      <name val="Lato"/>
      <family val="2"/>
    </font>
    <font>
      <sz val="8"/>
      <name val="Aptos Narrow"/>
      <family val="2"/>
      <scheme val="minor"/>
    </font>
    <font>
      <sz val="12"/>
      <color theme="1"/>
      <name val="Lato"/>
      <family val="2"/>
    </font>
    <font>
      <i/>
      <sz val="8"/>
      <color theme="1"/>
      <name val="Lato"/>
      <family val="2"/>
    </font>
    <font>
      <b/>
      <sz val="12"/>
      <color theme="1"/>
      <name val="Lato"/>
      <family val="2"/>
    </font>
    <font>
      <u/>
      <sz val="11"/>
      <color theme="10"/>
      <name val="Lato"/>
      <family val="2"/>
    </font>
    <font>
      <sz val="16"/>
      <color theme="1"/>
      <name val="Lato"/>
      <family val="2"/>
    </font>
    <font>
      <b/>
      <sz val="16"/>
      <color rgb="FFBE2381"/>
      <name val="Lato"/>
      <family val="2"/>
    </font>
    <font>
      <b/>
      <sz val="12"/>
      <color rgb="FFBE2381"/>
      <name val="Lato"/>
      <family val="2"/>
    </font>
    <font>
      <sz val="12"/>
      <name val="Lato"/>
      <family val="2"/>
    </font>
    <font>
      <sz val="16"/>
      <color rgb="FF861C46"/>
      <name val="Lato"/>
      <family val="2"/>
    </font>
    <font>
      <b/>
      <sz val="14"/>
      <color theme="1"/>
      <name val="Lato"/>
      <family val="2"/>
    </font>
    <font>
      <u/>
      <sz val="12"/>
      <color theme="10"/>
      <name val="Lato"/>
      <family val="2"/>
    </font>
    <font>
      <b/>
      <sz val="16"/>
      <color rgb="FF277A74"/>
      <name val="Lato"/>
      <family val="2"/>
    </font>
    <font>
      <i/>
      <sz val="16"/>
      <color theme="1"/>
      <name val="Lato"/>
      <family val="2"/>
    </font>
    <font>
      <b/>
      <sz val="18"/>
      <color theme="1"/>
      <name val="Lato"/>
      <family val="2"/>
    </font>
    <font>
      <b/>
      <sz val="11"/>
      <color theme="1"/>
      <name val="Aptos Narrow"/>
      <family val="2"/>
      <scheme val="minor"/>
    </font>
    <font>
      <i/>
      <sz val="11"/>
      <color theme="1"/>
      <name val="Aptos Narrow"/>
      <family val="2"/>
      <scheme val="minor"/>
    </font>
    <font>
      <b/>
      <sz val="18"/>
      <color theme="1"/>
      <name val="Aptos Narrow"/>
      <family val="2"/>
      <scheme val="minor"/>
    </font>
    <font>
      <b/>
      <i/>
      <u/>
      <sz val="11"/>
      <color theme="1"/>
      <name val="Aptos Narrow"/>
      <family val="2"/>
      <scheme val="minor"/>
    </font>
    <font>
      <sz val="10"/>
      <color rgb="FF1B1B1B"/>
      <name val="Lato"/>
      <family val="2"/>
    </font>
    <font>
      <b/>
      <sz val="11"/>
      <color theme="0" tint="-0.14999847407452621"/>
      <name val="Aptos Narrow"/>
      <family val="2"/>
      <scheme val="minor"/>
    </font>
    <font>
      <i/>
      <sz val="10"/>
      <color theme="1"/>
      <name val="Aptos Narrow"/>
      <family val="2"/>
      <scheme val="minor"/>
    </font>
    <font>
      <sz val="11"/>
      <name val="Calibri"/>
      <family val="2"/>
    </font>
    <font>
      <b/>
      <sz val="11"/>
      <color rgb="FFFF0000"/>
      <name val="Aptos Narrow"/>
      <family val="2"/>
      <scheme val="minor"/>
    </font>
    <font>
      <i/>
      <sz val="11"/>
      <color rgb="FFFF0000"/>
      <name val="Aptos Narrow"/>
      <family val="2"/>
      <scheme val="minor"/>
    </font>
    <font>
      <i/>
      <sz val="10"/>
      <color theme="1"/>
      <name val="Lato"/>
      <family val="2"/>
    </font>
    <font>
      <sz val="10"/>
      <color theme="1"/>
      <name val="Lato"/>
    </font>
    <font>
      <i/>
      <sz val="10"/>
      <color theme="1"/>
      <name val="Lato"/>
    </font>
    <font>
      <u/>
      <sz val="9"/>
      <color theme="10"/>
      <name val="Lato"/>
    </font>
    <font>
      <b/>
      <sz val="10"/>
      <color theme="1"/>
      <name val="Lato"/>
    </font>
    <font>
      <b/>
      <sz val="12"/>
      <color theme="1"/>
      <name val="Lato"/>
    </font>
    <font>
      <sz val="12"/>
      <color theme="1"/>
      <name val="Lato"/>
    </font>
    <font>
      <sz val="11"/>
      <color indexed="8"/>
      <name val="Aptos Narrow"/>
      <family val="2"/>
      <scheme val="minor"/>
    </font>
    <font>
      <b/>
      <sz val="11"/>
      <color theme="1"/>
      <name val="Aptos"/>
    </font>
    <font>
      <sz val="11"/>
      <color theme="1"/>
      <name val="Aptos"/>
    </font>
    <font>
      <b/>
      <sz val="11"/>
      <color theme="1"/>
      <name val="Aptos"/>
      <family val="2"/>
    </font>
    <font>
      <i/>
      <sz val="9"/>
      <color theme="1"/>
      <name val="Aptos Narrow"/>
      <family val="2"/>
      <scheme val="minor"/>
    </font>
    <font>
      <b/>
      <sz val="9"/>
      <color theme="1"/>
      <name val="Aptos Narrow"/>
      <family val="2"/>
      <scheme val="minor"/>
    </font>
    <font>
      <i/>
      <u/>
      <sz val="9"/>
      <color theme="10"/>
      <name val="Aptos Narrow"/>
      <family val="2"/>
      <scheme val="minor"/>
    </font>
    <font>
      <b/>
      <i/>
      <sz val="9"/>
      <color theme="1"/>
      <name val="Aptos Narrow"/>
      <family val="2"/>
      <scheme val="minor"/>
    </font>
    <font>
      <b/>
      <sz val="12"/>
      <color theme="0"/>
      <name val="Lato"/>
      <family val="2"/>
    </font>
    <font>
      <sz val="11"/>
      <color theme="1"/>
      <name val="Aptos"/>
      <family val="2"/>
    </font>
    <font>
      <i/>
      <sz val="9"/>
      <color theme="10"/>
      <name val="Aptos Narrow"/>
      <family val="2"/>
      <scheme val="minor"/>
    </font>
    <font>
      <b/>
      <sz val="11"/>
      <color rgb="FF000000"/>
      <name val="Aptos Narrow"/>
      <scheme val="minor"/>
    </font>
    <font>
      <b/>
      <sz val="12"/>
      <color rgb="FF000000"/>
      <name val="Lato"/>
    </font>
    <font>
      <sz val="12"/>
      <color rgb="FF000000"/>
      <name val="Lato"/>
    </font>
    <font>
      <i/>
      <sz val="11"/>
      <color rgb="FF000000"/>
      <name val="Aptos Narrow"/>
      <scheme val="minor"/>
    </font>
  </fonts>
  <fills count="21">
    <fill>
      <patternFill patternType="none"/>
    </fill>
    <fill>
      <patternFill patternType="gray125"/>
    </fill>
    <fill>
      <patternFill patternType="solid">
        <fgColor theme="0"/>
        <bgColor indexed="64"/>
      </patternFill>
    </fill>
    <fill>
      <patternFill patternType="solid">
        <fgColor theme="3" tint="0.89999084444715716"/>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B2AF"/>
        <bgColor indexed="64"/>
      </patternFill>
    </fill>
    <fill>
      <patternFill patternType="solid">
        <fgColor theme="9" tint="0.79998168889431442"/>
        <bgColor indexed="64"/>
      </patternFill>
    </fill>
    <fill>
      <patternFill patternType="solid">
        <fgColor rgb="FFC6EDEA"/>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E7E3F0"/>
        <bgColor indexed="64"/>
      </patternFill>
    </fill>
    <fill>
      <patternFill patternType="solid">
        <fgColor theme="2" tint="-9.9978637043366805E-2"/>
        <bgColor indexed="64"/>
      </patternFill>
    </fill>
    <fill>
      <patternFill patternType="solid">
        <fgColor theme="3" tint="0.499984740745262"/>
        <bgColor indexed="64"/>
      </patternFill>
    </fill>
    <fill>
      <patternFill patternType="solid">
        <fgColor rgb="FF93DDD8"/>
        <bgColor indexed="64"/>
      </patternFill>
    </fill>
    <fill>
      <patternFill patternType="solid">
        <fgColor rgb="FFF7FCB6"/>
        <bgColor indexed="64"/>
      </patternFill>
    </fill>
    <fill>
      <patternFill patternType="solid">
        <fgColor rgb="FFFFFF66"/>
        <bgColor indexed="64"/>
      </patternFill>
    </fill>
    <fill>
      <patternFill patternType="solid">
        <fgColor rgb="FFD6E8F6"/>
        <bgColor indexed="64"/>
      </patternFill>
    </fill>
    <fill>
      <patternFill patternType="solid">
        <fgColor rgb="FFFA9EEF"/>
        <bgColor indexed="64"/>
      </patternFill>
    </fill>
    <fill>
      <patternFill patternType="solid">
        <fgColor theme="1"/>
        <bgColor indexed="64"/>
      </patternFill>
    </fill>
  </fills>
  <borders count="3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ck">
        <color indexed="64"/>
      </top>
      <bottom style="thick">
        <color indexed="64"/>
      </bottom>
      <diagonal/>
    </border>
    <border>
      <left/>
      <right/>
      <top style="thin">
        <color indexed="64"/>
      </top>
      <bottom style="thin">
        <color indexed="64"/>
      </bottom>
      <diagonal/>
    </border>
    <border>
      <left style="thin">
        <color theme="1"/>
      </left>
      <right style="thin">
        <color theme="1"/>
      </right>
      <top style="thin">
        <color theme="1"/>
      </top>
      <bottom style="thin">
        <color theme="1"/>
      </bottom>
      <diagonal/>
    </border>
    <border>
      <left/>
      <right/>
      <top style="thick">
        <color indexed="64"/>
      </top>
      <bottom/>
      <diagonal/>
    </border>
    <border>
      <left style="thin">
        <color theme="1"/>
      </left>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theme="1"/>
      </top>
      <bottom/>
      <diagonal/>
    </border>
    <border>
      <left style="thin">
        <color indexed="64"/>
      </left>
      <right/>
      <top style="thin">
        <color theme="1"/>
      </top>
      <bottom/>
      <diagonal/>
    </border>
    <border>
      <left style="thin">
        <color indexed="64"/>
      </left>
      <right style="thin">
        <color indexed="64"/>
      </right>
      <top/>
      <bottom/>
      <diagonal/>
    </border>
    <border>
      <left/>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8">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8" fillId="0" borderId="0"/>
    <xf numFmtId="0" fontId="38" fillId="0" borderId="0"/>
    <xf numFmtId="43" fontId="1" fillId="0" borderId="0" applyFont="0" applyFill="0" applyBorder="0" applyAlignment="0" applyProtection="0"/>
  </cellStyleXfs>
  <cellXfs count="413">
    <xf numFmtId="0" fontId="0" fillId="0" borderId="0" xfId="0"/>
    <xf numFmtId="0" fontId="4" fillId="0" borderId="0" xfId="0" applyFont="1"/>
    <xf numFmtId="0" fontId="4" fillId="0" borderId="0" xfId="0" applyFont="1" applyAlignment="1">
      <alignment horizontal="center"/>
    </xf>
    <xf numFmtId="0" fontId="4" fillId="2" borderId="0" xfId="0" applyFont="1" applyFill="1" applyAlignment="1">
      <alignment horizontal="center"/>
    </xf>
    <xf numFmtId="0" fontId="4" fillId="2" borderId="0" xfId="0" applyFont="1" applyFill="1"/>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xf>
    <xf numFmtId="0" fontId="4" fillId="0" borderId="5" xfId="0" applyFont="1" applyBorder="1"/>
    <xf numFmtId="165" fontId="4" fillId="0" borderId="0" xfId="1" applyNumberFormat="1" applyFont="1" applyBorder="1"/>
    <xf numFmtId="3" fontId="4" fillId="0" borderId="0" xfId="0" applyNumberFormat="1" applyFont="1"/>
    <xf numFmtId="0" fontId="4" fillId="0" borderId="6" xfId="0" applyFont="1" applyBorder="1"/>
    <xf numFmtId="0" fontId="4" fillId="0" borderId="7" xfId="0" applyFont="1" applyBorder="1"/>
    <xf numFmtId="0" fontId="4" fillId="0" borderId="1" xfId="0" applyFont="1" applyBorder="1"/>
    <xf numFmtId="165" fontId="4" fillId="0" borderId="1" xfId="1" applyNumberFormat="1" applyFont="1" applyBorder="1"/>
    <xf numFmtId="3" fontId="4" fillId="0" borderId="1" xfId="0" applyNumberFormat="1" applyFont="1" applyBorder="1"/>
    <xf numFmtId="0" fontId="4" fillId="0" borderId="8" xfId="0" applyFont="1" applyBorder="1"/>
    <xf numFmtId="0" fontId="3" fillId="3" borderId="4" xfId="0" applyFont="1" applyFill="1" applyBorder="1" applyAlignment="1">
      <alignment horizontal="center" vertical="center" wrapText="1"/>
    </xf>
    <xf numFmtId="0" fontId="3" fillId="4" borderId="3" xfId="0" applyFont="1" applyFill="1" applyBorder="1" applyAlignment="1">
      <alignment horizontal="center" vertical="center" wrapText="1"/>
    </xf>
    <xf numFmtId="4" fontId="4" fillId="0" borderId="0" xfId="0" applyNumberFormat="1" applyFont="1"/>
    <xf numFmtId="4" fontId="4" fillId="0" borderId="1" xfId="0" applyNumberFormat="1" applyFont="1" applyBorder="1"/>
    <xf numFmtId="3" fontId="4" fillId="6" borderId="1" xfId="0" applyNumberFormat="1" applyFont="1" applyFill="1" applyBorder="1"/>
    <xf numFmtId="0" fontId="0" fillId="6" borderId="0" xfId="0" applyFill="1"/>
    <xf numFmtId="0" fontId="5" fillId="0" borderId="0" xfId="3" applyFont="1" applyBorder="1" applyAlignment="1"/>
    <xf numFmtId="3" fontId="5" fillId="0" borderId="0" xfId="3" applyNumberFormat="1" applyFont="1" applyBorder="1"/>
    <xf numFmtId="0" fontId="0" fillId="2" borderId="0" xfId="0" applyFill="1"/>
    <xf numFmtId="0" fontId="7" fillId="2" borderId="0" xfId="0" applyFont="1" applyFill="1"/>
    <xf numFmtId="49" fontId="7" fillId="2" borderId="0" xfId="0" applyNumberFormat="1" applyFont="1" applyFill="1"/>
    <xf numFmtId="0" fontId="9" fillId="2" borderId="0" xfId="0" applyFont="1" applyFill="1" applyAlignment="1">
      <alignment horizontal="right"/>
    </xf>
    <xf numFmtId="0" fontId="10" fillId="2" borderId="0" xfId="4" applyFont="1" applyFill="1"/>
    <xf numFmtId="0" fontId="11" fillId="2" borderId="0" xfId="0" applyFont="1" applyFill="1" applyAlignment="1">
      <alignment vertical="center"/>
    </xf>
    <xf numFmtId="0" fontId="12" fillId="2" borderId="10" xfId="0" applyFont="1" applyFill="1" applyBorder="1" applyAlignment="1">
      <alignment vertical="center"/>
    </xf>
    <xf numFmtId="0" fontId="12" fillId="2" borderId="0" xfId="0" applyFont="1" applyFill="1" applyAlignment="1">
      <alignment vertical="center"/>
    </xf>
    <xf numFmtId="0" fontId="13" fillId="2" borderId="0" xfId="0" applyFont="1" applyFill="1"/>
    <xf numFmtId="0" fontId="7" fillId="2" borderId="0" xfId="0" applyFont="1" applyFill="1" applyAlignment="1">
      <alignment wrapText="1"/>
    </xf>
    <xf numFmtId="0" fontId="14" fillId="2" borderId="0" xfId="0" applyFont="1" applyFill="1" applyAlignment="1">
      <alignment vertical="top" wrapText="1"/>
    </xf>
    <xf numFmtId="0" fontId="11" fillId="2" borderId="0" xfId="0" applyFont="1" applyFill="1" applyAlignment="1">
      <alignment vertical="center" wrapText="1"/>
    </xf>
    <xf numFmtId="0" fontId="7" fillId="2" borderId="0" xfId="0" applyFont="1" applyFill="1" applyAlignment="1">
      <alignment vertical="top" wrapText="1"/>
    </xf>
    <xf numFmtId="0" fontId="15" fillId="2" borderId="0" xfId="0" applyFont="1" applyFill="1" applyAlignment="1">
      <alignment vertical="center"/>
    </xf>
    <xf numFmtId="0" fontId="16" fillId="2" borderId="11" xfId="0" applyFont="1" applyFill="1" applyBorder="1" applyAlignment="1">
      <alignment horizontal="left"/>
    </xf>
    <xf numFmtId="0" fontId="9" fillId="2" borderId="0" xfId="0" applyFont="1" applyFill="1" applyAlignment="1">
      <alignment horizontal="center"/>
    </xf>
    <xf numFmtId="0" fontId="7" fillId="2" borderId="0" xfId="0" applyFont="1" applyFill="1" applyAlignment="1">
      <alignment horizontal="left"/>
    </xf>
    <xf numFmtId="0" fontId="9" fillId="2" borderId="0" xfId="0" applyFont="1" applyFill="1"/>
    <xf numFmtId="0" fontId="7" fillId="2" borderId="0" xfId="0" applyFont="1" applyFill="1" applyAlignment="1">
      <alignment vertical="center"/>
    </xf>
    <xf numFmtId="0" fontId="17" fillId="2" borderId="0" xfId="3" applyFont="1" applyFill="1" applyAlignment="1">
      <alignment horizontal="right"/>
    </xf>
    <xf numFmtId="0" fontId="8" fillId="7" borderId="0" xfId="0" applyFont="1" applyFill="1" applyAlignment="1">
      <alignment vertical="top"/>
    </xf>
    <xf numFmtId="0" fontId="7" fillId="7" borderId="0" xfId="0" applyFont="1" applyFill="1"/>
    <xf numFmtId="0" fontId="7" fillId="7" borderId="1" xfId="0" applyFont="1" applyFill="1" applyBorder="1"/>
    <xf numFmtId="0" fontId="18" fillId="2" borderId="10" xfId="0" applyFont="1" applyFill="1" applyBorder="1" applyAlignment="1">
      <alignment vertical="center"/>
    </xf>
    <xf numFmtId="49" fontId="7" fillId="2" borderId="13" xfId="0" applyNumberFormat="1" applyFont="1" applyFill="1" applyBorder="1" applyAlignment="1">
      <alignment wrapText="1"/>
    </xf>
    <xf numFmtId="0" fontId="9" fillId="7" borderId="12" xfId="3" applyFont="1" applyFill="1" applyBorder="1" applyAlignment="1">
      <alignment vertical="center" wrapText="1"/>
    </xf>
    <xf numFmtId="0" fontId="7" fillId="2" borderId="12" xfId="0" quotePrefix="1" applyFont="1" applyFill="1" applyBorder="1" applyAlignment="1">
      <alignment horizontal="left" vertical="center" wrapText="1"/>
    </xf>
    <xf numFmtId="0" fontId="9" fillId="2" borderId="12" xfId="0" quotePrefix="1" applyFont="1" applyFill="1" applyBorder="1" applyAlignment="1">
      <alignment horizontal="left" vertical="center" wrapText="1"/>
    </xf>
    <xf numFmtId="0" fontId="9" fillId="2" borderId="14" xfId="3" applyFont="1" applyFill="1" applyBorder="1" applyAlignment="1">
      <alignment vertical="center" wrapText="1"/>
    </xf>
    <xf numFmtId="0" fontId="9" fillId="5" borderId="14" xfId="3" applyFont="1" applyFill="1" applyBorder="1" applyAlignment="1">
      <alignment vertical="center" wrapText="1"/>
    </xf>
    <xf numFmtId="0" fontId="9" fillId="8" borderId="14" xfId="3" applyFont="1" applyFill="1" applyBorder="1" applyAlignment="1">
      <alignment vertical="center" wrapText="1"/>
    </xf>
    <xf numFmtId="0" fontId="21" fillId="0" borderId="0" xfId="0" applyFont="1" applyAlignment="1">
      <alignment horizontal="center" vertical="center" wrapText="1"/>
    </xf>
    <xf numFmtId="9" fontId="4" fillId="2" borderId="0" xfId="2" applyFont="1" applyFill="1"/>
    <xf numFmtId="0" fontId="21" fillId="9" borderId="23" xfId="0" applyFont="1" applyFill="1" applyBorder="1" applyAlignment="1">
      <alignment horizontal="center" vertical="center" wrapText="1"/>
    </xf>
    <xf numFmtId="165" fontId="2" fillId="0" borderId="0" xfId="3" applyNumberFormat="1" applyBorder="1"/>
    <xf numFmtId="0" fontId="3" fillId="11" borderId="3" xfId="0" applyFont="1" applyFill="1" applyBorder="1" applyAlignment="1">
      <alignment horizontal="center" vertical="center" wrapText="1"/>
    </xf>
    <xf numFmtId="9" fontId="4" fillId="0" borderId="0" xfId="2" applyFont="1"/>
    <xf numFmtId="166" fontId="4" fillId="6" borderId="1" xfId="2" applyNumberFormat="1" applyFont="1" applyFill="1" applyBorder="1"/>
    <xf numFmtId="10" fontId="4" fillId="6" borderId="1" xfId="2" applyNumberFormat="1" applyFont="1" applyFill="1" applyBorder="1"/>
    <xf numFmtId="0" fontId="2" fillId="0" borderId="0" xfId="3" applyBorder="1"/>
    <xf numFmtId="0" fontId="21" fillId="2" borderId="0" xfId="0" applyFont="1" applyFill="1" applyAlignment="1">
      <alignment horizontal="center" vertical="center" wrapText="1"/>
    </xf>
    <xf numFmtId="3" fontId="21" fillId="0" borderId="22" xfId="0" applyNumberFormat="1" applyFont="1" applyBorder="1" applyAlignment="1">
      <alignment horizontal="center" vertical="center" wrapText="1"/>
    </xf>
    <xf numFmtId="9" fontId="21" fillId="0" borderId="22" xfId="2" applyFont="1" applyBorder="1" applyAlignment="1">
      <alignment horizontal="center" vertical="center" wrapText="1"/>
    </xf>
    <xf numFmtId="3" fontId="21" fillId="9" borderId="23" xfId="0" applyNumberFormat="1" applyFont="1" applyFill="1" applyBorder="1" applyAlignment="1">
      <alignment horizontal="center" vertical="center" wrapText="1"/>
    </xf>
    <xf numFmtId="0" fontId="3" fillId="3" borderId="24" xfId="0" applyFont="1" applyFill="1" applyBorder="1" applyAlignment="1">
      <alignment horizontal="center" vertical="center"/>
    </xf>
    <xf numFmtId="166" fontId="0" fillId="0" borderId="0" xfId="2" applyNumberFormat="1" applyFont="1"/>
    <xf numFmtId="9" fontId="4" fillId="0" borderId="0" xfId="2" applyFont="1" applyBorder="1"/>
    <xf numFmtId="0" fontId="2" fillId="0" borderId="0" xfId="3" applyFill="1" applyBorder="1"/>
    <xf numFmtId="0" fontId="3" fillId="3" borderId="5" xfId="0" applyFont="1" applyFill="1" applyBorder="1" applyAlignment="1">
      <alignment horizontal="center" vertical="center" wrapText="1"/>
    </xf>
    <xf numFmtId="3" fontId="0" fillId="0" borderId="5" xfId="0" applyNumberFormat="1" applyBorder="1"/>
    <xf numFmtId="0" fontId="0" fillId="0" borderId="5" xfId="0" applyBorder="1"/>
    <xf numFmtId="0" fontId="3" fillId="13" borderId="6" xfId="0" applyFont="1" applyFill="1" applyBorder="1" applyAlignment="1">
      <alignment horizontal="center" vertical="center" wrapText="1"/>
    </xf>
    <xf numFmtId="3" fontId="4" fillId="6" borderId="5" xfId="0" applyNumberFormat="1" applyFont="1" applyFill="1" applyBorder="1"/>
    <xf numFmtId="0" fontId="3" fillId="13" borderId="5" xfId="0" applyFont="1" applyFill="1" applyBorder="1" applyAlignment="1">
      <alignment horizontal="center" vertical="center" wrapText="1"/>
    </xf>
    <xf numFmtId="0" fontId="21" fillId="9" borderId="23" xfId="0" applyFont="1" applyFill="1" applyBorder="1" applyAlignment="1">
      <alignment wrapText="1"/>
    </xf>
    <xf numFmtId="0" fontId="21" fillId="12" borderId="23" xfId="0" applyFont="1" applyFill="1" applyBorder="1" applyAlignment="1">
      <alignment wrapText="1"/>
    </xf>
    <xf numFmtId="0" fontId="21" fillId="2" borderId="0" xfId="0" applyFont="1" applyFill="1"/>
    <xf numFmtId="0" fontId="22" fillId="2" borderId="22" xfId="0" applyFont="1" applyFill="1" applyBorder="1"/>
    <xf numFmtId="0" fontId="22" fillId="10" borderId="22" xfId="0" applyFont="1" applyFill="1" applyBorder="1"/>
    <xf numFmtId="0" fontId="24" fillId="2" borderId="0" xfId="0" applyFont="1" applyFill="1"/>
    <xf numFmtId="0" fontId="22" fillId="2" borderId="22" xfId="0" applyFont="1" applyFill="1" applyBorder="1" applyAlignment="1">
      <alignment horizontal="center" vertical="center" wrapText="1"/>
    </xf>
    <xf numFmtId="0" fontId="21" fillId="12" borderId="23" xfId="0" applyFont="1" applyFill="1" applyBorder="1" applyAlignment="1">
      <alignment horizontal="center" vertical="center" wrapText="1"/>
    </xf>
    <xf numFmtId="0" fontId="22" fillId="12" borderId="22" xfId="0" applyFont="1" applyFill="1" applyBorder="1" applyAlignment="1">
      <alignment horizontal="center" vertical="center" wrapText="1"/>
    </xf>
    <xf numFmtId="0" fontId="22" fillId="10" borderId="22" xfId="0" applyFont="1" applyFill="1" applyBorder="1" applyAlignment="1">
      <alignment horizontal="center" vertical="center" wrapText="1"/>
    </xf>
    <xf numFmtId="0" fontId="0" fillId="2" borderId="0" xfId="0" applyFill="1" applyAlignment="1">
      <alignment wrapText="1"/>
    </xf>
    <xf numFmtId="0" fontId="21" fillId="2" borderId="0" xfId="0" quotePrefix="1" applyFont="1" applyFill="1" applyAlignment="1">
      <alignment horizontal="center" vertical="center" wrapText="1"/>
    </xf>
    <xf numFmtId="9" fontId="22" fillId="10" borderId="22" xfId="0" applyNumberFormat="1" applyFont="1" applyFill="1" applyBorder="1" applyAlignment="1">
      <alignment horizontal="center" vertical="center" wrapText="1"/>
    </xf>
    <xf numFmtId="169" fontId="21" fillId="12" borderId="23" xfId="0" applyNumberFormat="1" applyFont="1" applyFill="1" applyBorder="1" applyAlignment="1">
      <alignment horizontal="center" vertical="center" wrapText="1"/>
    </xf>
    <xf numFmtId="3" fontId="22" fillId="12" borderId="22" xfId="0" applyNumberFormat="1" applyFont="1" applyFill="1" applyBorder="1" applyAlignment="1">
      <alignment horizontal="center" vertical="center" wrapText="1"/>
    </xf>
    <xf numFmtId="168" fontId="22" fillId="2" borderId="22" xfId="0" applyNumberFormat="1" applyFont="1" applyFill="1" applyBorder="1" applyAlignment="1">
      <alignment horizontal="center" vertical="center" wrapText="1"/>
    </xf>
    <xf numFmtId="9" fontId="4" fillId="0" borderId="0" xfId="2" applyFont="1" applyFill="1" applyBorder="1"/>
    <xf numFmtId="9" fontId="22" fillId="2" borderId="22" xfId="2" applyFont="1" applyFill="1" applyBorder="1" applyAlignment="1">
      <alignment horizontal="center" vertical="center" wrapText="1"/>
    </xf>
    <xf numFmtId="0" fontId="27" fillId="2" borderId="22" xfId="0" applyFont="1" applyFill="1" applyBorder="1" applyAlignment="1">
      <alignment horizontal="center" vertical="center" wrapText="1"/>
    </xf>
    <xf numFmtId="0" fontId="22" fillId="12" borderId="9" xfId="0" applyFont="1" applyFill="1" applyBorder="1" applyAlignment="1">
      <alignment horizontal="center" vertical="center" wrapText="1"/>
    </xf>
    <xf numFmtId="169" fontId="22" fillId="12" borderId="22" xfId="0" applyNumberFormat="1" applyFont="1" applyFill="1" applyBorder="1" applyAlignment="1">
      <alignment horizontal="center" vertical="center" wrapText="1"/>
    </xf>
    <xf numFmtId="3" fontId="2" fillId="0" borderId="0" xfId="3" applyNumberFormat="1" applyFill="1" applyBorder="1"/>
    <xf numFmtId="0" fontId="26" fillId="2" borderId="0" xfId="0" applyFont="1" applyFill="1" applyAlignment="1">
      <alignment horizontal="center" vertical="center" wrapText="1"/>
    </xf>
    <xf numFmtId="2" fontId="4" fillId="2" borderId="0" xfId="0" applyNumberFormat="1" applyFont="1" applyFill="1"/>
    <xf numFmtId="0" fontId="4" fillId="2" borderId="0" xfId="0" applyFont="1" applyFill="1" applyAlignment="1">
      <alignment horizontal="right"/>
    </xf>
    <xf numFmtId="2" fontId="2" fillId="0" borderId="0" xfId="3" applyNumberFormat="1" applyBorder="1"/>
    <xf numFmtId="0" fontId="25" fillId="0" borderId="1" xfId="0" applyFont="1" applyBorder="1" applyAlignment="1">
      <alignment vertical="center" wrapText="1"/>
    </xf>
    <xf numFmtId="3" fontId="2" fillId="0" borderId="1" xfId="3" applyNumberFormat="1" applyFill="1" applyBorder="1"/>
    <xf numFmtId="9" fontId="0" fillId="0" borderId="0" xfId="2" applyFont="1" applyBorder="1"/>
    <xf numFmtId="9" fontId="3" fillId="3" borderId="3" xfId="2" applyFont="1" applyFill="1" applyBorder="1" applyAlignment="1">
      <alignment horizontal="center" vertical="center" wrapText="1"/>
    </xf>
    <xf numFmtId="0" fontId="3" fillId="4" borderId="4" xfId="0" applyFont="1" applyFill="1" applyBorder="1" applyAlignment="1">
      <alignment horizontal="center" vertical="center" wrapText="1"/>
    </xf>
    <xf numFmtId="0" fontId="2" fillId="0" borderId="1" xfId="3" applyBorder="1"/>
    <xf numFmtId="9" fontId="4" fillId="0" borderId="1" xfId="2" applyFont="1" applyBorder="1"/>
    <xf numFmtId="9" fontId="0" fillId="0" borderId="1" xfId="2" applyFont="1" applyBorder="1"/>
    <xf numFmtId="2" fontId="4" fillId="0" borderId="0" xfId="2" applyNumberFormat="1" applyFont="1" applyFill="1" applyBorder="1"/>
    <xf numFmtId="0" fontId="29" fillId="2" borderId="0" xfId="0" applyFont="1" applyFill="1" applyAlignment="1">
      <alignment horizontal="center" vertical="center" wrapText="1"/>
    </xf>
    <xf numFmtId="0" fontId="30" fillId="2" borderId="0" xfId="0" applyFont="1" applyFill="1" applyAlignment="1">
      <alignment horizontal="center" vertical="center" wrapText="1"/>
    </xf>
    <xf numFmtId="169" fontId="30" fillId="2" borderId="0" xfId="0" applyNumberFormat="1" applyFont="1" applyFill="1" applyAlignment="1">
      <alignment horizontal="center" vertical="center" wrapText="1"/>
    </xf>
    <xf numFmtId="3" fontId="4" fillId="6" borderId="0" xfId="0" applyNumberFormat="1" applyFont="1" applyFill="1"/>
    <xf numFmtId="9" fontId="2" fillId="0" borderId="0" xfId="3" applyNumberFormat="1" applyBorder="1"/>
    <xf numFmtId="10" fontId="4" fillId="6" borderId="0" xfId="2" applyNumberFormat="1" applyFont="1" applyFill="1" applyBorder="1"/>
    <xf numFmtId="166" fontId="4" fillId="6" borderId="0" xfId="2" applyNumberFormat="1" applyFont="1" applyFill="1" applyBorder="1"/>
    <xf numFmtId="165" fontId="2" fillId="0" borderId="1" xfId="3" applyNumberFormat="1" applyBorder="1"/>
    <xf numFmtId="9" fontId="4" fillId="6" borderId="0" xfId="2" applyFont="1" applyFill="1" applyBorder="1"/>
    <xf numFmtId="9" fontId="4" fillId="6" borderId="6" xfId="2" applyFont="1" applyFill="1" applyBorder="1"/>
    <xf numFmtId="9" fontId="4" fillId="6" borderId="1" xfId="2" applyFont="1" applyFill="1" applyBorder="1"/>
    <xf numFmtId="2" fontId="2" fillId="0" borderId="1" xfId="3" applyNumberFormat="1" applyBorder="1"/>
    <xf numFmtId="9" fontId="4" fillId="6" borderId="8" xfId="2" applyFont="1" applyFill="1" applyBorder="1"/>
    <xf numFmtId="167" fontId="4" fillId="0" borderId="0" xfId="1" applyNumberFormat="1" applyFont="1" applyBorder="1"/>
    <xf numFmtId="2" fontId="4" fillId="0" borderId="6" xfId="1" applyNumberFormat="1" applyFont="1" applyBorder="1"/>
    <xf numFmtId="0" fontId="2" fillId="0" borderId="1" xfId="3" applyFill="1" applyBorder="1"/>
    <xf numFmtId="9" fontId="0" fillId="0" borderId="6" xfId="2" applyFont="1" applyBorder="1"/>
    <xf numFmtId="9" fontId="2" fillId="0" borderId="1" xfId="3" applyNumberFormat="1" applyBorder="1"/>
    <xf numFmtId="0" fontId="0" fillId="0" borderId="1" xfId="0" applyBorder="1"/>
    <xf numFmtId="9" fontId="0" fillId="0" borderId="8" xfId="2" applyFont="1" applyBorder="1"/>
    <xf numFmtId="0" fontId="2" fillId="0" borderId="5" xfId="3" applyFill="1" applyBorder="1"/>
    <xf numFmtId="0" fontId="3" fillId="13" borderId="3" xfId="0" applyFont="1" applyFill="1" applyBorder="1" applyAlignment="1">
      <alignment horizontal="center" vertical="center" wrapText="1"/>
    </xf>
    <xf numFmtId="0" fontId="3" fillId="13" borderId="4" xfId="0" applyFont="1" applyFill="1" applyBorder="1" applyAlignment="1">
      <alignment horizontal="center" vertical="center" wrapText="1"/>
    </xf>
    <xf numFmtId="0" fontId="2" fillId="0" borderId="7" xfId="3" applyFill="1" applyBorder="1"/>
    <xf numFmtId="0" fontId="3" fillId="13" borderId="0" xfId="0" applyFont="1" applyFill="1" applyAlignment="1">
      <alignment horizontal="center" vertical="center" wrapText="1"/>
    </xf>
    <xf numFmtId="4" fontId="4" fillId="6" borderId="0" xfId="0" applyNumberFormat="1" applyFont="1" applyFill="1"/>
    <xf numFmtId="4" fontId="4" fillId="6" borderId="1" xfId="0" applyNumberFormat="1" applyFont="1" applyFill="1" applyBorder="1"/>
    <xf numFmtId="0" fontId="25" fillId="6" borderId="17" xfId="0" applyFont="1" applyFill="1" applyBorder="1" applyAlignment="1">
      <alignment horizontal="right" vertical="center" wrapText="1"/>
    </xf>
    <xf numFmtId="3" fontId="2" fillId="6" borderId="0" xfId="3" applyNumberFormat="1" applyFill="1" applyBorder="1"/>
    <xf numFmtId="3" fontId="4" fillId="6" borderId="18" xfId="0" applyNumberFormat="1" applyFont="1" applyFill="1" applyBorder="1"/>
    <xf numFmtId="0" fontId="25" fillId="6" borderId="19" xfId="0" applyFont="1" applyFill="1" applyBorder="1" applyAlignment="1">
      <alignment horizontal="right" vertical="center" wrapText="1"/>
    </xf>
    <xf numFmtId="3" fontId="2" fillId="6" borderId="20" xfId="3" applyNumberFormat="1" applyFill="1" applyBorder="1"/>
    <xf numFmtId="3" fontId="4" fillId="6" borderId="20" xfId="0" applyNumberFormat="1" applyFont="1" applyFill="1" applyBorder="1"/>
    <xf numFmtId="3" fontId="4" fillId="6" borderId="21" xfId="0" applyNumberFormat="1" applyFont="1" applyFill="1" applyBorder="1"/>
    <xf numFmtId="0" fontId="3" fillId="3" borderId="0" xfId="0" applyFont="1" applyFill="1" applyAlignment="1">
      <alignment horizontal="center" vertical="center" wrapText="1"/>
    </xf>
    <xf numFmtId="0" fontId="4" fillId="0" borderId="0" xfId="0" applyFont="1" applyAlignment="1">
      <alignment horizontal="left"/>
    </xf>
    <xf numFmtId="0" fontId="4" fillId="2" borderId="0" xfId="0" applyFont="1" applyFill="1" applyAlignment="1">
      <alignment horizontal="left"/>
    </xf>
    <xf numFmtId="0" fontId="3" fillId="3" borderId="0" xfId="0" applyFont="1" applyFill="1" applyAlignment="1">
      <alignment horizontal="center" vertical="center"/>
    </xf>
    <xf numFmtId="0" fontId="3" fillId="3" borderId="6" xfId="0" applyFont="1" applyFill="1" applyBorder="1" applyAlignment="1">
      <alignment horizontal="center" vertical="center" wrapText="1"/>
    </xf>
    <xf numFmtId="2" fontId="4" fillId="0" borderId="6" xfId="2" applyNumberFormat="1" applyFont="1" applyFill="1" applyBorder="1"/>
    <xf numFmtId="0" fontId="2" fillId="0" borderId="5" xfId="3" applyBorder="1" applyAlignment="1">
      <alignment horizontal="left" vertical="center"/>
    </xf>
    <xf numFmtId="167" fontId="4" fillId="0" borderId="6" xfId="1" applyNumberFormat="1" applyFont="1" applyBorder="1"/>
    <xf numFmtId="0" fontId="2" fillId="0" borderId="7" xfId="3" applyBorder="1" applyAlignment="1">
      <alignment horizontal="left" vertical="center"/>
    </xf>
    <xf numFmtId="0" fontId="3" fillId="3" borderId="2" xfId="0" applyFont="1" applyFill="1" applyBorder="1" applyAlignment="1">
      <alignment horizontal="center" vertical="center" wrapText="1"/>
    </xf>
    <xf numFmtId="2" fontId="4" fillId="0" borderId="6" xfId="1" applyNumberFormat="1" applyFont="1" applyFill="1" applyBorder="1"/>
    <xf numFmtId="2" fontId="4" fillId="0" borderId="8" xfId="1" applyNumberFormat="1" applyFont="1" applyFill="1" applyBorder="1"/>
    <xf numFmtId="0" fontId="4" fillId="0" borderId="3" xfId="0" applyFont="1" applyBorder="1"/>
    <xf numFmtId="0" fontId="3" fillId="13" borderId="2" xfId="0" applyFont="1" applyFill="1" applyBorder="1" applyAlignment="1">
      <alignment horizontal="center" vertical="center" wrapText="1"/>
    </xf>
    <xf numFmtId="0" fontId="0" fillId="13" borderId="3" xfId="0" applyFill="1" applyBorder="1"/>
    <xf numFmtId="0" fontId="3" fillId="3" borderId="25" xfId="0" applyFont="1" applyFill="1" applyBorder="1" applyAlignment="1">
      <alignment horizontal="center" vertical="center"/>
    </xf>
    <xf numFmtId="3" fontId="0" fillId="0" borderId="0" xfId="0" applyNumberFormat="1"/>
    <xf numFmtId="0" fontId="0" fillId="0" borderId="7" xfId="0" applyBorder="1"/>
    <xf numFmtId="3" fontId="0" fillId="0" borderId="1" xfId="0" applyNumberFormat="1" applyBorder="1"/>
    <xf numFmtId="3" fontId="4" fillId="6" borderId="7" xfId="0" applyNumberFormat="1" applyFont="1" applyFill="1" applyBorder="1"/>
    <xf numFmtId="2" fontId="22" fillId="2" borderId="22" xfId="0" applyNumberFormat="1" applyFont="1" applyFill="1" applyBorder="1" applyAlignment="1">
      <alignment horizontal="center" vertical="center" wrapText="1"/>
    </xf>
    <xf numFmtId="0" fontId="4" fillId="2" borderId="2" xfId="0" applyFont="1" applyFill="1" applyBorder="1"/>
    <xf numFmtId="0" fontId="4" fillId="2" borderId="3" xfId="0" applyFont="1" applyFill="1" applyBorder="1"/>
    <xf numFmtId="3" fontId="22" fillId="12" borderId="23" xfId="0" applyNumberFormat="1" applyFont="1" applyFill="1" applyBorder="1" applyAlignment="1">
      <alignment horizontal="center" vertical="center" wrapText="1"/>
    </xf>
    <xf numFmtId="169" fontId="21" fillId="2" borderId="0" xfId="0" applyNumberFormat="1" applyFont="1" applyFill="1" applyAlignment="1">
      <alignment horizontal="center" vertical="center" wrapText="1"/>
    </xf>
    <xf numFmtId="0" fontId="21" fillId="8" borderId="23" xfId="0" applyFont="1" applyFill="1" applyBorder="1"/>
    <xf numFmtId="0" fontId="21" fillId="8" borderId="23" xfId="0" applyFont="1" applyFill="1" applyBorder="1" applyAlignment="1">
      <alignment wrapText="1"/>
    </xf>
    <xf numFmtId="0" fontId="9" fillId="15" borderId="14" xfId="3" applyFont="1" applyFill="1" applyBorder="1" applyAlignment="1">
      <alignment vertical="center" wrapText="1"/>
    </xf>
    <xf numFmtId="0" fontId="3" fillId="11" borderId="4" xfId="0" applyFont="1" applyFill="1" applyBorder="1" applyAlignment="1">
      <alignment horizontal="center" vertical="center" wrapText="1"/>
    </xf>
    <xf numFmtId="3" fontId="4" fillId="6" borderId="6" xfId="0" applyNumberFormat="1" applyFont="1" applyFill="1" applyBorder="1"/>
    <xf numFmtId="3" fontId="4" fillId="6" borderId="8" xfId="0" applyNumberFormat="1" applyFont="1" applyFill="1" applyBorder="1"/>
    <xf numFmtId="164" fontId="4" fillId="0" borderId="6" xfId="1" applyFont="1" applyBorder="1"/>
    <xf numFmtId="164" fontId="4" fillId="0" borderId="8" xfId="1" applyFont="1" applyBorder="1"/>
    <xf numFmtId="2" fontId="4" fillId="0" borderId="1" xfId="2" applyNumberFormat="1" applyFont="1" applyFill="1" applyBorder="1"/>
    <xf numFmtId="2" fontId="4" fillId="0" borderId="8" xfId="2" applyNumberFormat="1" applyFont="1" applyFill="1" applyBorder="1"/>
    <xf numFmtId="0" fontId="3" fillId="11" borderId="2" xfId="0" applyFont="1" applyFill="1" applyBorder="1" applyAlignment="1">
      <alignment horizontal="center" vertical="center" wrapText="1"/>
    </xf>
    <xf numFmtId="4" fontId="4" fillId="6" borderId="5" xfId="0" applyNumberFormat="1" applyFont="1" applyFill="1" applyBorder="1"/>
    <xf numFmtId="4" fontId="4" fillId="6" borderId="6" xfId="0" applyNumberFormat="1" applyFont="1" applyFill="1" applyBorder="1"/>
    <xf numFmtId="4" fontId="4" fillId="6" borderId="7" xfId="0" applyNumberFormat="1" applyFont="1" applyFill="1" applyBorder="1"/>
    <xf numFmtId="4" fontId="4" fillId="6" borderId="8" xfId="0" applyNumberFormat="1" applyFont="1" applyFill="1" applyBorder="1"/>
    <xf numFmtId="2" fontId="4" fillId="6" borderId="0" xfId="0" applyNumberFormat="1" applyFont="1" applyFill="1"/>
    <xf numFmtId="0" fontId="25" fillId="0" borderId="0" xfId="0" applyFont="1" applyAlignment="1">
      <alignment vertical="center" wrapText="1"/>
    </xf>
    <xf numFmtId="167" fontId="4" fillId="6" borderId="5" xfId="1" applyNumberFormat="1" applyFont="1" applyFill="1" applyBorder="1"/>
    <xf numFmtId="167" fontId="4" fillId="6" borderId="6" xfId="1" applyNumberFormat="1" applyFont="1" applyFill="1" applyBorder="1"/>
    <xf numFmtId="167" fontId="4" fillId="6" borderId="7" xfId="1" applyNumberFormat="1" applyFont="1" applyFill="1" applyBorder="1"/>
    <xf numFmtId="167" fontId="4" fillId="6" borderId="8" xfId="1" applyNumberFormat="1" applyFont="1" applyFill="1" applyBorder="1"/>
    <xf numFmtId="0" fontId="3" fillId="11" borderId="9" xfId="0" applyFont="1" applyFill="1" applyBorder="1" applyAlignment="1">
      <alignment horizontal="center" vertical="center" wrapText="1"/>
    </xf>
    <xf numFmtId="3" fontId="4" fillId="6" borderId="26" xfId="0" applyNumberFormat="1" applyFont="1" applyFill="1" applyBorder="1"/>
    <xf numFmtId="3" fontId="0" fillId="6" borderId="6" xfId="0" applyNumberFormat="1" applyFill="1" applyBorder="1"/>
    <xf numFmtId="3" fontId="4" fillId="6" borderId="0" xfId="2" applyNumberFormat="1" applyFont="1" applyFill="1" applyBorder="1"/>
    <xf numFmtId="3" fontId="4" fillId="6" borderId="5" xfId="2" applyNumberFormat="1" applyFont="1" applyFill="1" applyBorder="1"/>
    <xf numFmtId="167" fontId="4" fillId="0" borderId="1" xfId="1" applyNumberFormat="1" applyFont="1" applyBorder="1"/>
    <xf numFmtId="2" fontId="4" fillId="0" borderId="8" xfId="1" applyNumberFormat="1" applyFont="1" applyBorder="1"/>
    <xf numFmtId="1" fontId="22" fillId="12" borderId="22" xfId="0" applyNumberFormat="1" applyFont="1" applyFill="1" applyBorder="1" applyAlignment="1">
      <alignment horizontal="center" vertical="center" wrapText="1"/>
    </xf>
    <xf numFmtId="0" fontId="22" fillId="16" borderId="22" xfId="0" applyFont="1" applyFill="1" applyBorder="1"/>
    <xf numFmtId="0" fontId="22" fillId="16" borderId="22" xfId="0" applyFont="1" applyFill="1" applyBorder="1" applyAlignment="1">
      <alignment horizontal="center" vertical="center" wrapText="1"/>
    </xf>
    <xf numFmtId="3" fontId="22" fillId="16" borderId="22" xfId="0" applyNumberFormat="1" applyFont="1" applyFill="1" applyBorder="1" applyAlignment="1">
      <alignment horizontal="center" vertical="center" wrapText="1"/>
    </xf>
    <xf numFmtId="4" fontId="22" fillId="16" borderId="22" xfId="0" applyNumberFormat="1" applyFont="1" applyFill="1" applyBorder="1" applyAlignment="1">
      <alignment horizontal="center" vertical="center" wrapText="1"/>
    </xf>
    <xf numFmtId="168" fontId="22" fillId="16" borderId="22" xfId="1" applyNumberFormat="1" applyFont="1" applyFill="1" applyBorder="1" applyAlignment="1">
      <alignment horizontal="center" vertical="center" wrapText="1"/>
    </xf>
    <xf numFmtId="165" fontId="22" fillId="16" borderId="22" xfId="1" applyNumberFormat="1" applyFont="1" applyFill="1" applyBorder="1" applyAlignment="1">
      <alignment horizontal="center" vertical="center" wrapText="1"/>
    </xf>
    <xf numFmtId="1" fontId="22" fillId="16" borderId="22" xfId="1" applyNumberFormat="1" applyFont="1" applyFill="1" applyBorder="1" applyAlignment="1">
      <alignment horizontal="center" vertical="center" wrapText="1"/>
    </xf>
    <xf numFmtId="2" fontId="22" fillId="16" borderId="22" xfId="0" applyNumberFormat="1" applyFont="1" applyFill="1" applyBorder="1" applyAlignment="1">
      <alignment horizontal="center" vertical="center" wrapText="1"/>
    </xf>
    <xf numFmtId="0" fontId="9" fillId="12" borderId="14" xfId="3" applyFont="1" applyFill="1" applyBorder="1" applyAlignment="1">
      <alignment vertical="center" wrapText="1"/>
    </xf>
    <xf numFmtId="0" fontId="9" fillId="16" borderId="14" xfId="3" applyFont="1" applyFill="1" applyBorder="1" applyAlignment="1">
      <alignment vertical="center" wrapText="1"/>
    </xf>
    <xf numFmtId="0" fontId="9" fillId="10" borderId="14" xfId="3" applyFont="1" applyFill="1" applyBorder="1" applyAlignment="1">
      <alignment vertical="center" wrapText="1"/>
    </xf>
    <xf numFmtId="0" fontId="22" fillId="12" borderId="22" xfId="0" applyFont="1" applyFill="1" applyBorder="1" applyAlignment="1">
      <alignment wrapText="1"/>
    </xf>
    <xf numFmtId="9" fontId="22" fillId="10" borderId="22" xfId="2" applyFont="1" applyFill="1" applyBorder="1" applyAlignment="1">
      <alignment horizontal="center" vertical="center" wrapText="1"/>
    </xf>
    <xf numFmtId="0" fontId="21" fillId="5" borderId="0" xfId="0" applyFont="1" applyFill="1"/>
    <xf numFmtId="0" fontId="31" fillId="2" borderId="0" xfId="0" applyFont="1" applyFill="1" applyAlignment="1">
      <alignment horizontal="right"/>
    </xf>
    <xf numFmtId="3" fontId="4" fillId="2" borderId="0" xfId="0" applyNumberFormat="1" applyFont="1" applyFill="1"/>
    <xf numFmtId="3" fontId="32" fillId="2" borderId="0" xfId="0" applyNumberFormat="1" applyFont="1" applyFill="1"/>
    <xf numFmtId="0" fontId="32" fillId="2" borderId="0" xfId="0" applyFont="1" applyFill="1"/>
    <xf numFmtId="0" fontId="33" fillId="2" borderId="0" xfId="0" applyFont="1" applyFill="1" applyAlignment="1">
      <alignment horizontal="right"/>
    </xf>
    <xf numFmtId="166" fontId="4" fillId="2" borderId="0" xfId="0" applyNumberFormat="1" applyFont="1" applyFill="1"/>
    <xf numFmtId="166" fontId="32" fillId="2" borderId="0" xfId="0" applyNumberFormat="1" applyFont="1" applyFill="1"/>
    <xf numFmtId="167" fontId="4" fillId="0" borderId="8" xfId="1" applyNumberFormat="1" applyFont="1" applyBorder="1"/>
    <xf numFmtId="9" fontId="32" fillId="0" borderId="1" xfId="2" applyFont="1" applyBorder="1"/>
    <xf numFmtId="3" fontId="4" fillId="0" borderId="0" xfId="2" applyNumberFormat="1" applyFont="1" applyBorder="1"/>
    <xf numFmtId="0" fontId="35" fillId="3" borderId="3" xfId="0" applyFont="1" applyFill="1" applyBorder="1" applyAlignment="1">
      <alignment horizontal="center" vertical="center" wrapText="1"/>
    </xf>
    <xf numFmtId="0" fontId="35" fillId="13" borderId="4" xfId="0" applyFont="1" applyFill="1" applyBorder="1" applyAlignment="1">
      <alignment horizontal="center" vertical="center" wrapText="1"/>
    </xf>
    <xf numFmtId="167" fontId="32" fillId="6" borderId="6" xfId="1" applyNumberFormat="1" applyFont="1" applyFill="1" applyBorder="1"/>
    <xf numFmtId="167" fontId="32" fillId="6" borderId="0" xfId="1" applyNumberFormat="1" applyFont="1" applyFill="1" applyBorder="1"/>
    <xf numFmtId="0" fontId="35" fillId="11" borderId="9" xfId="0" applyFont="1" applyFill="1" applyBorder="1" applyAlignment="1">
      <alignment horizontal="center" vertical="center" wrapText="1"/>
    </xf>
    <xf numFmtId="0" fontId="35" fillId="13" borderId="3" xfId="0" applyFont="1" applyFill="1" applyBorder="1" applyAlignment="1">
      <alignment horizontal="center" vertical="center" wrapText="1"/>
    </xf>
    <xf numFmtId="0" fontId="35" fillId="13" borderId="2" xfId="0" applyFont="1" applyFill="1" applyBorder="1" applyAlignment="1">
      <alignment horizontal="center" vertical="center" wrapText="1"/>
    </xf>
    <xf numFmtId="3" fontId="32" fillId="6" borderId="0" xfId="0" applyNumberFormat="1" applyFont="1" applyFill="1"/>
    <xf numFmtId="3" fontId="32" fillId="6" borderId="6" xfId="0" applyNumberFormat="1" applyFont="1" applyFill="1" applyBorder="1"/>
    <xf numFmtId="167" fontId="32" fillId="2" borderId="0" xfId="1" applyNumberFormat="1" applyFont="1" applyFill="1" applyBorder="1"/>
    <xf numFmtId="9" fontId="4" fillId="2" borderId="0" xfId="2" applyFont="1" applyFill="1" applyBorder="1"/>
    <xf numFmtId="9" fontId="32" fillId="2" borderId="0" xfId="2" applyFont="1" applyFill="1" applyBorder="1"/>
    <xf numFmtId="0" fontId="35" fillId="11" borderId="4" xfId="0" applyFont="1" applyFill="1" applyBorder="1" applyAlignment="1">
      <alignment horizontal="center" vertical="center" wrapText="1"/>
    </xf>
    <xf numFmtId="167" fontId="4" fillId="6" borderId="0" xfId="1" applyNumberFormat="1" applyFont="1" applyFill="1" applyBorder="1"/>
    <xf numFmtId="0" fontId="3" fillId="4" borderId="0" xfId="0" applyFont="1" applyFill="1" applyAlignment="1">
      <alignment horizontal="center" vertical="center" wrapText="1"/>
    </xf>
    <xf numFmtId="167" fontId="32" fillId="6" borderId="5" xfId="1" applyNumberFormat="1" applyFont="1" applyFill="1" applyBorder="1"/>
    <xf numFmtId="0" fontId="32" fillId="0" borderId="0" xfId="0" applyFont="1"/>
    <xf numFmtId="3" fontId="32" fillId="6" borderId="8" xfId="0" applyNumberFormat="1" applyFont="1" applyFill="1" applyBorder="1"/>
    <xf numFmtId="0" fontId="35" fillId="11" borderId="2" xfId="0" applyFont="1" applyFill="1" applyBorder="1" applyAlignment="1">
      <alignment horizontal="center" vertical="center" wrapText="1"/>
    </xf>
    <xf numFmtId="0" fontId="35" fillId="11" borderId="3" xfId="0" applyFont="1" applyFill="1" applyBorder="1" applyAlignment="1">
      <alignment horizontal="center" vertical="center" wrapText="1"/>
    </xf>
    <xf numFmtId="3" fontId="32" fillId="6" borderId="5" xfId="0" applyNumberFormat="1" applyFont="1" applyFill="1" applyBorder="1"/>
    <xf numFmtId="3" fontId="35" fillId="2" borderId="0" xfId="0" applyNumberFormat="1" applyFont="1" applyFill="1"/>
    <xf numFmtId="3" fontId="32" fillId="6" borderId="1" xfId="0" applyNumberFormat="1" applyFont="1" applyFill="1" applyBorder="1"/>
    <xf numFmtId="3" fontId="32" fillId="6" borderId="26" xfId="0" applyNumberFormat="1" applyFont="1" applyFill="1" applyBorder="1"/>
    <xf numFmtId="167" fontId="4" fillId="6" borderId="1" xfId="1" applyNumberFormat="1" applyFont="1" applyFill="1" applyBorder="1"/>
    <xf numFmtId="1" fontId="4" fillId="0" borderId="0" xfId="1" applyNumberFormat="1" applyFont="1" applyBorder="1"/>
    <xf numFmtId="167" fontId="4" fillId="2" borderId="0" xfId="0" applyNumberFormat="1" applyFont="1" applyFill="1"/>
    <xf numFmtId="167" fontId="32" fillId="2" borderId="0" xfId="0" applyNumberFormat="1" applyFont="1" applyFill="1"/>
    <xf numFmtId="0" fontId="3" fillId="13" borderId="26" xfId="0" applyFont="1" applyFill="1" applyBorder="1" applyAlignment="1">
      <alignment horizontal="center" vertical="center" wrapText="1"/>
    </xf>
    <xf numFmtId="0" fontId="2" fillId="0" borderId="0" xfId="3" applyBorder="1" applyAlignment="1"/>
    <xf numFmtId="9" fontId="2" fillId="17" borderId="0" xfId="3" applyNumberFormat="1" applyFill="1" applyBorder="1"/>
    <xf numFmtId="0" fontId="2" fillId="17" borderId="0" xfId="3" applyFill="1" applyBorder="1"/>
    <xf numFmtId="3" fontId="32" fillId="6" borderId="5" xfId="2" applyNumberFormat="1" applyFont="1" applyFill="1" applyBorder="1"/>
    <xf numFmtId="0" fontId="35" fillId="3" borderId="3" xfId="0" applyFont="1" applyFill="1" applyBorder="1" applyAlignment="1">
      <alignment horizontal="center" vertical="center"/>
    </xf>
    <xf numFmtId="0" fontId="35" fillId="3" borderId="4" xfId="0" applyFont="1" applyFill="1" applyBorder="1" applyAlignment="1">
      <alignment horizontal="center" vertical="center" wrapText="1"/>
    </xf>
    <xf numFmtId="3" fontId="2" fillId="0" borderId="0" xfId="3" applyNumberFormat="1" applyBorder="1"/>
    <xf numFmtId="0" fontId="2" fillId="0" borderId="1" xfId="3" applyBorder="1" applyAlignment="1"/>
    <xf numFmtId="3" fontId="2" fillId="0" borderId="1" xfId="3" applyNumberFormat="1" applyBorder="1"/>
    <xf numFmtId="3" fontId="2" fillId="2" borderId="0" xfId="3" applyNumberFormat="1" applyFill="1"/>
    <xf numFmtId="0" fontId="2" fillId="2" borderId="0" xfId="3" applyFill="1"/>
    <xf numFmtId="9" fontId="0" fillId="6" borderId="0" xfId="2" applyFont="1" applyFill="1" applyBorder="1"/>
    <xf numFmtId="9" fontId="0" fillId="6" borderId="6" xfId="2" applyFont="1" applyFill="1" applyBorder="1"/>
    <xf numFmtId="9" fontId="0" fillId="6" borderId="1" xfId="2" applyFont="1" applyFill="1" applyBorder="1"/>
    <xf numFmtId="9" fontId="0" fillId="6" borderId="8" xfId="2" applyFont="1" applyFill="1" applyBorder="1"/>
    <xf numFmtId="167" fontId="2" fillId="0" borderId="0" xfId="3" applyNumberFormat="1" applyBorder="1"/>
    <xf numFmtId="1" fontId="2" fillId="0" borderId="0" xfId="3" applyNumberFormat="1" applyBorder="1"/>
    <xf numFmtId="1" fontId="32" fillId="0" borderId="0" xfId="1" applyNumberFormat="1" applyFont="1" applyBorder="1"/>
    <xf numFmtId="0" fontId="32" fillId="0" borderId="1" xfId="0" applyFont="1" applyBorder="1"/>
    <xf numFmtId="1" fontId="32" fillId="0" borderId="1" xfId="1" applyNumberFormat="1" applyFont="1" applyBorder="1"/>
    <xf numFmtId="0" fontId="3" fillId="3" borderId="5" xfId="0" applyFont="1" applyFill="1" applyBorder="1" applyAlignment="1">
      <alignment horizontal="center" vertical="center"/>
    </xf>
    <xf numFmtId="164" fontId="4" fillId="0" borderId="0" xfId="1" applyFont="1" applyFill="1" applyBorder="1"/>
    <xf numFmtId="164" fontId="4" fillId="0" borderId="1" xfId="1" applyFont="1" applyFill="1" applyBorder="1"/>
    <xf numFmtId="0" fontId="2" fillId="0" borderId="0" xfId="3" applyBorder="1" applyAlignment="1">
      <alignment horizontal="left" vertical="center"/>
    </xf>
    <xf numFmtId="0" fontId="2" fillId="0" borderId="1" xfId="3" applyBorder="1" applyAlignment="1">
      <alignment horizontal="left" vertical="center"/>
    </xf>
    <xf numFmtId="1" fontId="4" fillId="0" borderId="6" xfId="1" applyNumberFormat="1" applyFont="1" applyBorder="1"/>
    <xf numFmtId="1" fontId="32" fillId="0" borderId="6" xfId="1" applyNumberFormat="1" applyFont="1" applyBorder="1"/>
    <xf numFmtId="1" fontId="32" fillId="0" borderId="8" xfId="1" applyNumberFormat="1" applyFont="1" applyBorder="1"/>
    <xf numFmtId="9" fontId="4" fillId="0" borderId="1" xfId="2" applyFont="1" applyFill="1" applyBorder="1"/>
    <xf numFmtId="3" fontId="4" fillId="6" borderId="7" xfId="2" applyNumberFormat="1" applyFont="1" applyFill="1" applyBorder="1"/>
    <xf numFmtId="3" fontId="4" fillId="6" borderId="1" xfId="2" applyNumberFormat="1" applyFont="1" applyFill="1" applyBorder="1"/>
    <xf numFmtId="167" fontId="32" fillId="6" borderId="1" xfId="1" applyNumberFormat="1" applyFont="1" applyFill="1" applyBorder="1"/>
    <xf numFmtId="167" fontId="32" fillId="6" borderId="8" xfId="1" applyNumberFormat="1" applyFont="1" applyFill="1" applyBorder="1"/>
    <xf numFmtId="3" fontId="32" fillId="6" borderId="7" xfId="0" applyNumberFormat="1" applyFont="1" applyFill="1" applyBorder="1"/>
    <xf numFmtId="0" fontId="32" fillId="6" borderId="0" xfId="0" applyFont="1" applyFill="1"/>
    <xf numFmtId="3" fontId="32" fillId="0" borderId="0" xfId="2" applyNumberFormat="1" applyFont="1" applyBorder="1"/>
    <xf numFmtId="0" fontId="34" fillId="0" borderId="0" xfId="3" applyFont="1" applyBorder="1"/>
    <xf numFmtId="9" fontId="32" fillId="0" borderId="0" xfId="2" applyFont="1" applyBorder="1"/>
    <xf numFmtId="3" fontId="32" fillId="0" borderId="6" xfId="2" applyNumberFormat="1" applyFont="1" applyBorder="1"/>
    <xf numFmtId="3" fontId="32" fillId="0" borderId="1" xfId="2" applyNumberFormat="1" applyFont="1" applyBorder="1"/>
    <xf numFmtId="0" fontId="34" fillId="0" borderId="1" xfId="3" applyFont="1" applyBorder="1"/>
    <xf numFmtId="3" fontId="32" fillId="0" borderId="8" xfId="2" applyNumberFormat="1" applyFont="1" applyBorder="1"/>
    <xf numFmtId="0" fontId="35" fillId="3" borderId="2" xfId="0" applyFont="1" applyFill="1" applyBorder="1" applyAlignment="1">
      <alignment horizontal="center" vertical="center"/>
    </xf>
    <xf numFmtId="0" fontId="32" fillId="0" borderId="5" xfId="0" applyFont="1" applyBorder="1"/>
    <xf numFmtId="0" fontId="32" fillId="0" borderId="7" xfId="0" applyFont="1" applyBorder="1"/>
    <xf numFmtId="164" fontId="0" fillId="0" borderId="0" xfId="1" applyFont="1" applyBorder="1"/>
    <xf numFmtId="164" fontId="0" fillId="0" borderId="6" xfId="1" applyFont="1" applyBorder="1"/>
    <xf numFmtId="164" fontId="0" fillId="0" borderId="1" xfId="1" applyFont="1" applyBorder="1"/>
    <xf numFmtId="164" fontId="0" fillId="0" borderId="8" xfId="1" applyFont="1" applyBorder="1"/>
    <xf numFmtId="164" fontId="0" fillId="6" borderId="0" xfId="0" applyNumberFormat="1" applyFill="1"/>
    <xf numFmtId="167" fontId="32" fillId="6" borderId="7" xfId="1" applyNumberFormat="1" applyFont="1" applyFill="1" applyBorder="1"/>
    <xf numFmtId="3" fontId="32" fillId="6" borderId="28" xfId="0" applyNumberFormat="1" applyFont="1" applyFill="1" applyBorder="1"/>
    <xf numFmtId="3" fontId="4" fillId="6" borderId="28" xfId="0" applyNumberFormat="1" applyFont="1" applyFill="1" applyBorder="1"/>
    <xf numFmtId="0" fontId="0" fillId="13" borderId="9" xfId="0" applyFill="1" applyBorder="1"/>
    <xf numFmtId="9" fontId="4" fillId="6" borderId="26" xfId="2" applyFont="1" applyFill="1" applyBorder="1"/>
    <xf numFmtId="9" fontId="4" fillId="6" borderId="28" xfId="2" applyFont="1" applyFill="1" applyBorder="1"/>
    <xf numFmtId="10" fontId="0" fillId="6" borderId="0" xfId="2" applyNumberFormat="1" applyFont="1" applyFill="1" applyBorder="1"/>
    <xf numFmtId="3" fontId="0" fillId="6" borderId="0" xfId="0" applyNumberFormat="1" applyFill="1"/>
    <xf numFmtId="10" fontId="0" fillId="0" borderId="0" xfId="2" applyNumberFormat="1" applyFont="1" applyBorder="1"/>
    <xf numFmtId="10" fontId="0" fillId="6" borderId="1" xfId="2" applyNumberFormat="1" applyFont="1" applyFill="1" applyBorder="1"/>
    <xf numFmtId="3" fontId="0" fillId="6" borderId="1" xfId="0" applyNumberFormat="1" applyFill="1" applyBorder="1"/>
    <xf numFmtId="10" fontId="0" fillId="0" borderId="1" xfId="2" applyNumberFormat="1" applyFont="1" applyBorder="1"/>
    <xf numFmtId="0" fontId="39" fillId="18" borderId="23" xfId="0" applyFont="1" applyFill="1" applyBorder="1" applyAlignment="1">
      <alignment vertical="center" wrapText="1"/>
    </xf>
    <xf numFmtId="0" fontId="39" fillId="2" borderId="23" xfId="0" applyFont="1" applyFill="1" applyBorder="1" applyAlignment="1">
      <alignment vertical="center" wrapText="1"/>
    </xf>
    <xf numFmtId="0" fontId="40" fillId="2" borderId="29" xfId="0" applyFont="1" applyFill="1" applyBorder="1" applyAlignment="1">
      <alignment vertical="center" wrapText="1"/>
    </xf>
    <xf numFmtId="9" fontId="21" fillId="0" borderId="0" xfId="2" applyFont="1" applyBorder="1" applyAlignment="1">
      <alignment horizontal="center" vertical="center" wrapText="1"/>
    </xf>
    <xf numFmtId="0" fontId="22" fillId="2" borderId="0" xfId="0" applyFont="1" applyFill="1" applyAlignment="1">
      <alignment horizontal="center" vertical="center" wrapText="1"/>
    </xf>
    <xf numFmtId="164" fontId="0" fillId="0" borderId="0" xfId="1" applyFont="1" applyFill="1" applyBorder="1"/>
    <xf numFmtId="164" fontId="0" fillId="0" borderId="1" xfId="1" applyFont="1" applyFill="1" applyBorder="1"/>
    <xf numFmtId="3" fontId="0" fillId="6" borderId="8" xfId="0" applyNumberFormat="1" applyFill="1" applyBorder="1"/>
    <xf numFmtId="167" fontId="32" fillId="6" borderId="26" xfId="1" applyNumberFormat="1" applyFont="1" applyFill="1" applyBorder="1"/>
    <xf numFmtId="167" fontId="32" fillId="6" borderId="28" xfId="1" applyNumberFormat="1" applyFont="1" applyFill="1" applyBorder="1"/>
    <xf numFmtId="0" fontId="36" fillId="19" borderId="14" xfId="3" applyFont="1" applyFill="1" applyBorder="1" applyAlignment="1">
      <alignment vertical="center" wrapText="1"/>
    </xf>
    <xf numFmtId="0" fontId="7" fillId="0" borderId="12" xfId="0" quotePrefix="1" applyFont="1" applyBorder="1" applyAlignment="1">
      <alignment horizontal="left" vertical="center" wrapText="1"/>
    </xf>
    <xf numFmtId="9" fontId="4" fillId="19" borderId="0" xfId="2" applyFont="1" applyFill="1" applyBorder="1"/>
    <xf numFmtId="3" fontId="32" fillId="19" borderId="0" xfId="2" applyNumberFormat="1" applyFont="1" applyFill="1" applyBorder="1"/>
    <xf numFmtId="9" fontId="2" fillId="19" borderId="0" xfId="3" applyNumberFormat="1" applyFill="1" applyBorder="1"/>
    <xf numFmtId="9" fontId="4" fillId="19" borderId="0" xfId="0" applyNumberFormat="1" applyFont="1" applyFill="1"/>
    <xf numFmtId="9" fontId="4" fillId="19" borderId="6" xfId="0" applyNumberFormat="1" applyFont="1" applyFill="1" applyBorder="1"/>
    <xf numFmtId="9" fontId="0" fillId="19" borderId="0" xfId="2" applyFont="1" applyFill="1" applyBorder="1"/>
    <xf numFmtId="9" fontId="0" fillId="19" borderId="6" xfId="2" applyFont="1" applyFill="1" applyBorder="1"/>
    <xf numFmtId="0" fontId="0" fillId="19" borderId="0" xfId="0" applyFill="1"/>
    <xf numFmtId="9" fontId="0" fillId="19" borderId="0" xfId="2" applyFont="1" applyFill="1"/>
    <xf numFmtId="3" fontId="4" fillId="19" borderId="0" xfId="0" applyNumberFormat="1" applyFont="1" applyFill="1"/>
    <xf numFmtId="0" fontId="4" fillId="19" borderId="0" xfId="0" applyFont="1" applyFill="1"/>
    <xf numFmtId="3" fontId="4" fillId="19" borderId="6" xfId="0" applyNumberFormat="1" applyFont="1" applyFill="1" applyBorder="1"/>
    <xf numFmtId="0" fontId="4" fillId="19" borderId="5" xfId="0" applyFont="1" applyFill="1" applyBorder="1"/>
    <xf numFmtId="9" fontId="2" fillId="19" borderId="0" xfId="3" applyNumberFormat="1" applyFill="1"/>
    <xf numFmtId="9" fontId="32" fillId="19" borderId="0" xfId="2" applyFont="1" applyFill="1"/>
    <xf numFmtId="9" fontId="32" fillId="19" borderId="5" xfId="2" applyFont="1" applyFill="1" applyBorder="1"/>
    <xf numFmtId="9" fontId="0" fillId="19" borderId="0" xfId="0" applyNumberFormat="1" applyFill="1"/>
    <xf numFmtId="167" fontId="4" fillId="19" borderId="0" xfId="1" applyNumberFormat="1" applyFont="1" applyFill="1" applyBorder="1"/>
    <xf numFmtId="167" fontId="4" fillId="19" borderId="6" xfId="1" applyNumberFormat="1" applyFont="1" applyFill="1" applyBorder="1"/>
    <xf numFmtId="167" fontId="32" fillId="19" borderId="0" xfId="1" applyNumberFormat="1" applyFont="1" applyFill="1" applyBorder="1"/>
    <xf numFmtId="167" fontId="32" fillId="19" borderId="6" xfId="1" applyNumberFormat="1" applyFont="1" applyFill="1" applyBorder="1"/>
    <xf numFmtId="3" fontId="4" fillId="19" borderId="0" xfId="2" applyNumberFormat="1" applyFont="1" applyFill="1" applyBorder="1"/>
    <xf numFmtId="0" fontId="42" fillId="2" borderId="0" xfId="0" applyFont="1" applyFill="1" applyAlignment="1">
      <alignment horizontal="center" vertical="center" wrapText="1"/>
    </xf>
    <xf numFmtId="0" fontId="43" fillId="2" borderId="0" xfId="0" applyFont="1" applyFill="1" applyAlignment="1">
      <alignment horizontal="center" vertical="center" wrapText="1"/>
    </xf>
    <xf numFmtId="0" fontId="44" fillId="2" borderId="0" xfId="3" applyFont="1" applyFill="1" applyAlignment="1">
      <alignment horizontal="center" vertical="center" wrapText="1"/>
    </xf>
    <xf numFmtId="0" fontId="45" fillId="2" borderId="0" xfId="0" applyFont="1" applyFill="1" applyAlignment="1">
      <alignment horizontal="center" vertical="center" wrapText="1"/>
    </xf>
    <xf numFmtId="0" fontId="41" fillId="18" borderId="23" xfId="0" applyFont="1" applyFill="1" applyBorder="1" applyAlignment="1">
      <alignment vertical="center" wrapText="1"/>
    </xf>
    <xf numFmtId="0" fontId="9" fillId="0" borderId="12" xfId="3" applyFont="1" applyFill="1" applyBorder="1" applyAlignment="1">
      <alignment vertical="center" wrapText="1"/>
    </xf>
    <xf numFmtId="0" fontId="9" fillId="4" borderId="12" xfId="3" applyFont="1" applyFill="1" applyBorder="1" applyAlignment="1">
      <alignment vertical="center" wrapText="1"/>
    </xf>
    <xf numFmtId="0" fontId="21" fillId="20" borderId="31" xfId="0" applyFont="1" applyFill="1" applyBorder="1" applyAlignment="1">
      <alignment horizontal="center" vertical="center" wrapText="1"/>
    </xf>
    <xf numFmtId="0" fontId="21" fillId="20" borderId="27" xfId="0" applyFont="1" applyFill="1" applyBorder="1" applyAlignment="1">
      <alignment horizontal="center" vertical="center" wrapText="1"/>
    </xf>
    <xf numFmtId="3" fontId="21" fillId="20" borderId="32" xfId="0" applyNumberFormat="1" applyFont="1" applyFill="1" applyBorder="1" applyAlignment="1">
      <alignment horizontal="center" vertical="center" wrapText="1"/>
    </xf>
    <xf numFmtId="0" fontId="22" fillId="20" borderId="19" xfId="0" applyFont="1" applyFill="1" applyBorder="1" applyAlignment="1">
      <alignment horizontal="center" vertical="center" wrapText="1"/>
    </xf>
    <xf numFmtId="0" fontId="21" fillId="20" borderId="20" xfId="0" applyFont="1" applyFill="1" applyBorder="1" applyAlignment="1">
      <alignment horizontal="center" vertical="center" wrapText="1"/>
    </xf>
    <xf numFmtId="0" fontId="21" fillId="20" borderId="21" xfId="0" applyFont="1" applyFill="1" applyBorder="1" applyAlignment="1">
      <alignment horizontal="center" vertical="center" wrapText="1"/>
    </xf>
    <xf numFmtId="0" fontId="41" fillId="0" borderId="23" xfId="0" applyFont="1" applyBorder="1" applyAlignment="1">
      <alignment vertical="center" wrapText="1"/>
    </xf>
    <xf numFmtId="0" fontId="41" fillId="0" borderId="30" xfId="0" applyFont="1" applyBorder="1" applyAlignment="1">
      <alignment vertical="center" wrapText="1"/>
    </xf>
    <xf numFmtId="0" fontId="47" fillId="0" borderId="23" xfId="0" applyFont="1" applyBorder="1" applyAlignment="1">
      <alignment vertical="center" wrapText="1"/>
    </xf>
    <xf numFmtId="0" fontId="47" fillId="0" borderId="30" xfId="0" applyFont="1" applyBorder="1" applyAlignment="1">
      <alignment vertical="center" wrapText="1"/>
    </xf>
    <xf numFmtId="0" fontId="47" fillId="2" borderId="29" xfId="0" applyFont="1" applyFill="1" applyBorder="1" applyAlignment="1">
      <alignment vertical="center" wrapText="1"/>
    </xf>
    <xf numFmtId="0" fontId="41" fillId="2" borderId="23" xfId="0" applyFont="1" applyFill="1" applyBorder="1" applyAlignment="1">
      <alignment vertical="center"/>
    </xf>
    <xf numFmtId="169" fontId="21" fillId="9" borderId="23" xfId="0" applyNumberFormat="1" applyFont="1" applyFill="1" applyBorder="1" applyAlignment="1">
      <alignment horizontal="center" vertical="center" wrapText="1"/>
    </xf>
    <xf numFmtId="0" fontId="47" fillId="0" borderId="0" xfId="0" applyFont="1"/>
    <xf numFmtId="0" fontId="47" fillId="0" borderId="0" xfId="0" applyFont="1" applyAlignment="1">
      <alignment vertical="center" wrapText="1"/>
    </xf>
    <xf numFmtId="9" fontId="21" fillId="2" borderId="0" xfId="2" applyFont="1" applyFill="1" applyAlignment="1">
      <alignment horizontal="center" vertical="center" wrapText="1"/>
    </xf>
    <xf numFmtId="9" fontId="0" fillId="2" borderId="0" xfId="0" applyNumberFormat="1" applyFill="1"/>
    <xf numFmtId="3" fontId="21" fillId="12" borderId="23" xfId="0" applyNumberFormat="1" applyFont="1" applyFill="1" applyBorder="1" applyAlignment="1">
      <alignment horizontal="center" vertical="center" wrapText="1"/>
    </xf>
    <xf numFmtId="0" fontId="48" fillId="2" borderId="0" xfId="3" applyFont="1" applyFill="1" applyAlignment="1">
      <alignment horizontal="center" vertical="center" wrapText="1"/>
    </xf>
    <xf numFmtId="43" fontId="4" fillId="2" borderId="0" xfId="7" applyFont="1" applyFill="1"/>
    <xf numFmtId="0" fontId="5" fillId="0" borderId="0" xfId="3" applyFont="1" applyBorder="1"/>
    <xf numFmtId="0" fontId="5" fillId="0" borderId="1" xfId="3" applyFont="1" applyBorder="1"/>
    <xf numFmtId="3" fontId="5" fillId="0" borderId="1" xfId="3" applyNumberFormat="1" applyFont="1" applyBorder="1"/>
    <xf numFmtId="0" fontId="7" fillId="2" borderId="15" xfId="0" quotePrefix="1" applyFont="1" applyFill="1" applyBorder="1" applyAlignment="1">
      <alignment horizontal="left" vertical="center" wrapText="1"/>
    </xf>
    <xf numFmtId="0" fontId="7" fillId="2" borderId="16" xfId="0" applyFont="1" applyFill="1" applyBorder="1" applyAlignment="1">
      <alignment horizontal="left" vertical="center" wrapText="1"/>
    </xf>
    <xf numFmtId="0" fontId="37" fillId="2" borderId="15" xfId="0" quotePrefix="1" applyFont="1" applyFill="1" applyBorder="1" applyAlignment="1">
      <alignment horizontal="left" vertical="center" wrapText="1"/>
    </xf>
    <xf numFmtId="0" fontId="37" fillId="2" borderId="16" xfId="0" applyFont="1" applyFill="1" applyBorder="1" applyAlignment="1">
      <alignment horizontal="left" vertical="center" wrapText="1"/>
    </xf>
    <xf numFmtId="0" fontId="7" fillId="2" borderId="15" xfId="0" quotePrefix="1" applyFont="1" applyFill="1" applyBorder="1" applyAlignment="1">
      <alignment horizontal="left" vertical="center" wrapText="1"/>
    </xf>
    <xf numFmtId="0" fontId="7" fillId="2" borderId="16" xfId="0" applyFont="1" applyFill="1" applyBorder="1" applyAlignment="1">
      <alignment horizontal="left" vertical="center" wrapText="1"/>
    </xf>
    <xf numFmtId="0" fontId="51" fillId="2" borderId="0" xfId="0" applyFont="1" applyFill="1" applyAlignment="1">
      <alignment horizontal="left" vertical="center" wrapText="1"/>
    </xf>
    <xf numFmtId="0" fontId="7" fillId="2" borderId="0" xfId="0" applyFont="1" applyFill="1" applyAlignment="1">
      <alignment horizontal="left" vertical="center" wrapText="1"/>
    </xf>
    <xf numFmtId="0" fontId="20" fillId="7" borderId="0" xfId="0" applyFont="1" applyFill="1" applyAlignment="1">
      <alignment horizontal="center" vertical="top"/>
    </xf>
    <xf numFmtId="0" fontId="19" fillId="7" borderId="0" xfId="0" applyFont="1" applyFill="1" applyAlignment="1">
      <alignment horizontal="center" vertical="center"/>
    </xf>
    <xf numFmtId="49" fontId="7" fillId="2" borderId="0" xfId="0" applyNumberFormat="1" applyFont="1" applyFill="1" applyAlignment="1">
      <alignment horizontal="left" vertical="top" wrapText="1"/>
    </xf>
    <xf numFmtId="0" fontId="14" fillId="2" borderId="0" xfId="0" applyFont="1" applyFill="1" applyAlignment="1">
      <alignment horizontal="left" vertical="top" wrapText="1"/>
    </xf>
    <xf numFmtId="0" fontId="46" fillId="20" borderId="24" xfId="3" applyFont="1" applyFill="1" applyBorder="1" applyAlignment="1">
      <alignment horizontal="center" vertical="center" wrapText="1"/>
    </xf>
    <xf numFmtId="0" fontId="23" fillId="7" borderId="0" xfId="0" applyFont="1" applyFill="1" applyAlignment="1">
      <alignment horizontal="center"/>
    </xf>
    <xf numFmtId="0" fontId="49" fillId="6" borderId="0" xfId="0" applyFont="1" applyFill="1" applyAlignment="1">
      <alignment horizontal="left" vertical="top" wrapText="1"/>
    </xf>
    <xf numFmtId="0" fontId="21" fillId="6" borderId="0" xfId="0" applyFont="1" applyFill="1" applyAlignment="1">
      <alignment horizontal="left" vertical="top"/>
    </xf>
    <xf numFmtId="0" fontId="21" fillId="7" borderId="0" xfId="0" applyFont="1" applyFill="1" applyAlignment="1">
      <alignment horizontal="center"/>
    </xf>
    <xf numFmtId="0" fontId="22" fillId="2" borderId="0" xfId="0" applyFont="1" applyFill="1" applyAlignment="1">
      <alignment horizontal="left"/>
    </xf>
    <xf numFmtId="0" fontId="22" fillId="2" borderId="0" xfId="0" applyFont="1" applyFill="1" applyAlignment="1">
      <alignment horizontal="left" wrapText="1"/>
    </xf>
    <xf numFmtId="0" fontId="21" fillId="9" borderId="0" xfId="0" applyFont="1" applyFill="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3" fillId="14" borderId="2" xfId="0" applyFont="1" applyFill="1" applyBorder="1" applyAlignment="1">
      <alignment horizontal="center"/>
    </xf>
    <xf numFmtId="0" fontId="3" fillId="14" borderId="3" xfId="0" applyFont="1" applyFill="1" applyBorder="1" applyAlignment="1">
      <alignment horizontal="center"/>
    </xf>
    <xf numFmtId="0" fontId="3" fillId="14" borderId="4" xfId="0" applyFont="1" applyFill="1" applyBorder="1" applyAlignment="1">
      <alignment horizontal="center"/>
    </xf>
    <xf numFmtId="0" fontId="35" fillId="14" borderId="15" xfId="0" applyFont="1" applyFill="1" applyBorder="1" applyAlignment="1">
      <alignment horizontal="center"/>
    </xf>
    <xf numFmtId="0" fontId="35" fillId="14" borderId="11" xfId="0" applyFont="1" applyFill="1" applyBorder="1" applyAlignment="1">
      <alignment horizontal="center"/>
    </xf>
    <xf numFmtId="0" fontId="35" fillId="14" borderId="16" xfId="0" applyFont="1" applyFill="1" applyBorder="1" applyAlignment="1">
      <alignment horizontal="center"/>
    </xf>
    <xf numFmtId="0" fontId="3" fillId="3" borderId="1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3" borderId="16" xfId="0" applyFont="1" applyFill="1" applyBorder="1" applyAlignment="1">
      <alignment horizontal="center" vertical="center" wrapText="1"/>
    </xf>
  </cellXfs>
  <cellStyles count="8">
    <cellStyle name="Comma" xfId="7" builtinId="3"/>
    <cellStyle name="Currency" xfId="1" builtinId="4"/>
    <cellStyle name="Hipervínculo 2" xfId="4" xr:uid="{AB42CC05-DAFA-457F-A8EB-5015CFCB1D66}"/>
    <cellStyle name="Hyperlink" xfId="3" builtinId="8"/>
    <cellStyle name="Normal" xfId="0" builtinId="0"/>
    <cellStyle name="Normal 2" xfId="5" xr:uid="{7078EEA4-1625-48FF-9D28-B5358F0C2570}"/>
    <cellStyle name="Normal 3" xfId="6" xr:uid="{BC98A71C-E3BA-40A1-9D11-CA4B23BF530D}"/>
    <cellStyle name="Percent" xfId="2" builtinId="5"/>
  </cellStyles>
  <dxfs count="0"/>
  <tableStyles count="0" defaultTableStyle="TableStyleMedium2" defaultPivotStyle="PivotStyleLight16"/>
  <colors>
    <mruColors>
      <color rgb="FFFA9EEF"/>
      <color rgb="FF72B2AF"/>
      <color rgb="FFB2A5CF"/>
      <color rgb="FFE7E3F0"/>
      <color rgb="FFC6EDEA"/>
      <color rgb="FF93DDD8"/>
      <color rgb="FFD6F2F0"/>
      <color rgb="FFD9EFDF"/>
      <color rgb="FFD6E8F6"/>
      <color rgb="FF277A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15</xdr:col>
      <xdr:colOff>1390376</xdr:colOff>
      <xdr:row>6</xdr:row>
      <xdr:rowOff>18269</xdr:rowOff>
    </xdr:from>
    <xdr:to>
      <xdr:col>15</xdr:col>
      <xdr:colOff>1664390</xdr:colOff>
      <xdr:row>7</xdr:row>
      <xdr:rowOff>20297</xdr:rowOff>
    </xdr:to>
    <xdr:sp macro="" textlink="">
      <xdr:nvSpPr>
        <xdr:cNvPr id="12" name="Arrow: Down 2">
          <a:extLst>
            <a:ext uri="{FF2B5EF4-FFF2-40B4-BE49-F238E27FC236}">
              <a16:creationId xmlns:a16="http://schemas.microsoft.com/office/drawing/2014/main" id="{8BDE38FF-FCA9-4863-902F-899FCF6A2F43}"/>
            </a:ext>
          </a:extLst>
        </xdr:cNvPr>
        <xdr:cNvSpPr/>
      </xdr:nvSpPr>
      <xdr:spPr>
        <a:xfrm>
          <a:off x="14715650" y="1885634"/>
          <a:ext cx="274014" cy="377531"/>
        </a:xfrm>
        <a:prstGeom prst="down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632973</xdr:colOff>
      <xdr:row>70</xdr:row>
      <xdr:rowOff>13837</xdr:rowOff>
    </xdr:from>
    <xdr:to>
      <xdr:col>1</xdr:col>
      <xdr:colOff>1096015</xdr:colOff>
      <xdr:row>70</xdr:row>
      <xdr:rowOff>508958</xdr:rowOff>
    </xdr:to>
    <xdr:sp macro="" textlink="">
      <xdr:nvSpPr>
        <xdr:cNvPr id="9" name="Arrow: Down 4">
          <a:extLst>
            <a:ext uri="{FF2B5EF4-FFF2-40B4-BE49-F238E27FC236}">
              <a16:creationId xmlns:a16="http://schemas.microsoft.com/office/drawing/2014/main" id="{847C7DAE-2F2C-4D23-A6C5-E93BC2597C0C}"/>
            </a:ext>
          </a:extLst>
        </xdr:cNvPr>
        <xdr:cNvSpPr/>
      </xdr:nvSpPr>
      <xdr:spPr>
        <a:xfrm>
          <a:off x="814128" y="21424599"/>
          <a:ext cx="463042" cy="495121"/>
        </a:xfrm>
        <a:prstGeom prst="down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618803</xdr:colOff>
      <xdr:row>94</xdr:row>
      <xdr:rowOff>63764</xdr:rowOff>
    </xdr:from>
    <xdr:to>
      <xdr:col>1</xdr:col>
      <xdr:colOff>1075495</xdr:colOff>
      <xdr:row>94</xdr:row>
      <xdr:rowOff>474453</xdr:rowOff>
    </xdr:to>
    <xdr:sp macro="" textlink="">
      <xdr:nvSpPr>
        <xdr:cNvPr id="13" name="Arrow: Down 4">
          <a:extLst>
            <a:ext uri="{FF2B5EF4-FFF2-40B4-BE49-F238E27FC236}">
              <a16:creationId xmlns:a16="http://schemas.microsoft.com/office/drawing/2014/main" id="{55267941-DCC5-4F26-B1CC-DB91D14652E0}"/>
            </a:ext>
          </a:extLst>
        </xdr:cNvPr>
        <xdr:cNvSpPr/>
      </xdr:nvSpPr>
      <xdr:spPr>
        <a:xfrm>
          <a:off x="799958" y="28789726"/>
          <a:ext cx="456692" cy="410689"/>
        </a:xfrm>
        <a:prstGeom prst="down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619125</xdr:colOff>
      <xdr:row>118</xdr:row>
      <xdr:rowOff>115782</xdr:rowOff>
    </xdr:from>
    <xdr:to>
      <xdr:col>1</xdr:col>
      <xdr:colOff>1075817</xdr:colOff>
      <xdr:row>118</xdr:row>
      <xdr:rowOff>516531</xdr:rowOff>
    </xdr:to>
    <xdr:sp macro="" textlink="">
      <xdr:nvSpPr>
        <xdr:cNvPr id="4" name="Arrow: Down 4">
          <a:extLst>
            <a:ext uri="{FF2B5EF4-FFF2-40B4-BE49-F238E27FC236}">
              <a16:creationId xmlns:a16="http://schemas.microsoft.com/office/drawing/2014/main" id="{DA62D63D-7B4D-4684-8E15-A566B46BF38F}"/>
            </a:ext>
          </a:extLst>
        </xdr:cNvPr>
        <xdr:cNvSpPr/>
      </xdr:nvSpPr>
      <xdr:spPr>
        <a:xfrm>
          <a:off x="800280" y="36182824"/>
          <a:ext cx="456692" cy="400749"/>
        </a:xfrm>
        <a:prstGeom prst="down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681486</xdr:colOff>
      <xdr:row>44</xdr:row>
      <xdr:rowOff>51758</xdr:rowOff>
    </xdr:from>
    <xdr:to>
      <xdr:col>1</xdr:col>
      <xdr:colOff>1138178</xdr:colOff>
      <xdr:row>44</xdr:row>
      <xdr:rowOff>454872</xdr:rowOff>
    </xdr:to>
    <xdr:sp macro="" textlink="">
      <xdr:nvSpPr>
        <xdr:cNvPr id="2" name="Arrow: Down 1">
          <a:extLst>
            <a:ext uri="{FF2B5EF4-FFF2-40B4-BE49-F238E27FC236}">
              <a16:creationId xmlns:a16="http://schemas.microsoft.com/office/drawing/2014/main" id="{7E289B6E-3787-49AC-BBED-A387CFBEE2D7}"/>
            </a:ext>
          </a:extLst>
        </xdr:cNvPr>
        <xdr:cNvSpPr/>
      </xdr:nvSpPr>
      <xdr:spPr>
        <a:xfrm>
          <a:off x="862641" y="13448581"/>
          <a:ext cx="456692" cy="403114"/>
        </a:xfrm>
        <a:prstGeom prst="down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3" Type="http://schemas.openxmlformats.org/officeDocument/2006/relationships/hyperlink" Target="https://www.ers.usda.gov/topics/food-nutrition-assistance/food-security-in-the-us/key-statistics-graphics" TargetMode="External"/><Relationship Id="rId2" Type="http://schemas.openxmlformats.org/officeDocument/2006/relationships/hyperlink" Target="https://www.cdc.gov/brfss/brfssprevalence/index.html" TargetMode="External"/><Relationship Id="rId1" Type="http://schemas.openxmlformats.org/officeDocument/2006/relationships/hyperlink" Target="https://www.kff.org/state-health-policy-data/state-indicator/adults-ages-18-64-who-report-having-chronic-conditions/?currentTimeframe=0&amp;sortModel=%7B%22colId%22:%22Location%22,%22sort%22:%22asc%22%7D" TargetMode="External"/></Relationships>
</file>

<file path=xl/worksheets/_rels/sheet12.xml.rels><?xml version="1.0" encoding="UTF-8" standalone="yes"?>
<Relationships xmlns="http://schemas.openxmlformats.org/package/2006/relationships"><Relationship Id="rId13" Type="http://schemas.openxmlformats.org/officeDocument/2006/relationships/hyperlink" Target="https://www.momsmeals.com/our-food-programs/medically-tailored-meals/" TargetMode="External"/><Relationship Id="rId18" Type="http://schemas.openxmlformats.org/officeDocument/2006/relationships/hyperlink" Target="https://www.momsmeals.com/our-food-programs/medically-tailored-meals/" TargetMode="External"/><Relationship Id="rId26" Type="http://schemas.openxmlformats.org/officeDocument/2006/relationships/hyperlink" Target="https://www.momsmeals.com/our-food-programs/medically-tailored-meals/" TargetMode="External"/><Relationship Id="rId39" Type="http://schemas.openxmlformats.org/officeDocument/2006/relationships/hyperlink" Target="https://mow-nm.org/meals-services/" TargetMode="External"/><Relationship Id="rId21" Type="http://schemas.openxmlformats.org/officeDocument/2006/relationships/hyperlink" Target="https://www.momsmeals.com/our-food-programs/medically-tailored-meals/" TargetMode="External"/><Relationship Id="rId34" Type="http://schemas.openxmlformats.org/officeDocument/2006/relationships/hyperlink" Target="https://www.momsmeals.com/our-food-programs/medically-tailored-meals/" TargetMode="External"/><Relationship Id="rId42" Type="http://schemas.openxmlformats.org/officeDocument/2006/relationships/hyperlink" Target="https://www.momsmeals.com/our-food-programs/medically-tailored-meals/" TargetMode="External"/><Relationship Id="rId47" Type="http://schemas.openxmlformats.org/officeDocument/2006/relationships/hyperlink" Target="https://www.momsmeals.com/our-food-programs/medically-tailored-meals/" TargetMode="External"/><Relationship Id="rId50" Type="http://schemas.openxmlformats.org/officeDocument/2006/relationships/hyperlink" Target="https://www.ahajournals.org/doi/epub/10.1161/CIRCOUTCOMES.122.009520" TargetMode="External"/><Relationship Id="rId55" Type="http://schemas.openxmlformats.org/officeDocument/2006/relationships/hyperlink" Target="https://www.ahajournals.org/doi/epub/10.1161/CIRCOUTCOMES.122.009520" TargetMode="External"/><Relationship Id="rId63" Type="http://schemas.openxmlformats.org/officeDocument/2006/relationships/hyperlink" Target="https://www.triangleunitedgrowers.com/shop/p/large-produce-box" TargetMode="External"/><Relationship Id="rId7" Type="http://schemas.openxmlformats.org/officeDocument/2006/relationships/hyperlink" Target="https://www.momsmeals.com/our-food-programs/medically-tailored-meals/" TargetMode="External"/><Relationship Id="rId2" Type="http://schemas.openxmlformats.org/officeDocument/2006/relationships/hyperlink" Target="https://www.momsmeals.com/our-food-programs/medically-tailored-meals/" TargetMode="External"/><Relationship Id="rId16" Type="http://schemas.openxmlformats.org/officeDocument/2006/relationships/hyperlink" Target="https://www.momsmeals.com/our-food-programs/medically-tailored-meals/" TargetMode="External"/><Relationship Id="rId29" Type="http://schemas.openxmlformats.org/officeDocument/2006/relationships/hyperlink" Target="https://www.dhcs.ca.gov/Documents/MCQMD/May-Community-Supports-Spotlight-Medically-Tailored-Meals.pdf" TargetMode="External"/><Relationship Id="rId11" Type="http://schemas.openxmlformats.org/officeDocument/2006/relationships/hyperlink" Target="https://www.momsmeals.com/our-food-programs/medically-tailored-meals/" TargetMode="External"/><Relationship Id="rId24" Type="http://schemas.openxmlformats.org/officeDocument/2006/relationships/hyperlink" Target="https://www.momsmeals.com/our-food-programs/medically-tailored-meals/" TargetMode="External"/><Relationship Id="rId32" Type="http://schemas.openxmlformats.org/officeDocument/2006/relationships/hyperlink" Target="https://www.momsmeals.com/our-food-programs/medically-tailored-meals/" TargetMode="External"/><Relationship Id="rId37" Type="http://schemas.openxmlformats.org/officeDocument/2006/relationships/hyperlink" Target="https://www.momsmeals.com/our-food-programs/medically-tailored-meals/" TargetMode="External"/><Relationship Id="rId40" Type="http://schemas.openxmlformats.org/officeDocument/2006/relationships/hyperlink" Target="https://www.ncdhhs.gov/healthy-opportunities-pilot-fee-schedule-and-service-definitions/open" TargetMode="External"/><Relationship Id="rId45" Type="http://schemas.openxmlformats.org/officeDocument/2006/relationships/hyperlink" Target="https://www.momsmeals.com/our-food-programs/medically-tailored-meals/" TargetMode="External"/><Relationship Id="rId53" Type="http://schemas.openxmlformats.org/officeDocument/2006/relationships/hyperlink" Target="https://www.ahajournals.org/doi/epub/10.1161/CIRCOUTCOMES.122.009520" TargetMode="External"/><Relationship Id="rId58" Type="http://schemas.openxmlformats.org/officeDocument/2006/relationships/hyperlink" Target="https://phoenixmed.arizona.edu/culinary-medicine/farm-fresh" TargetMode="External"/><Relationship Id="rId5" Type="http://schemas.openxmlformats.org/officeDocument/2006/relationships/hyperlink" Target="https://www.momsmeals.com/our-food-programs/medically-tailored-meals/" TargetMode="External"/><Relationship Id="rId61" Type="http://schemas.openxmlformats.org/officeDocument/2006/relationships/hyperlink" Target="https://www.swflproduce.com/product-category/co-op-boxes-subscription/" TargetMode="External"/><Relationship Id="rId19" Type="http://schemas.openxmlformats.org/officeDocument/2006/relationships/hyperlink" Target="https://www.momsmeals.com/our-food-programs/medically-tailored-meals/" TargetMode="External"/><Relationship Id="rId14" Type="http://schemas.openxmlformats.org/officeDocument/2006/relationships/hyperlink" Target="https://www.momsmeals.com/our-food-programs/medically-tailored-meals/" TargetMode="External"/><Relationship Id="rId22" Type="http://schemas.openxmlformats.org/officeDocument/2006/relationships/hyperlink" Target="https://www.momsmeals.com/our-food-programs/medically-tailored-meals/" TargetMode="External"/><Relationship Id="rId27" Type="http://schemas.openxmlformats.org/officeDocument/2006/relationships/hyperlink" Target="https://www.momsmeals.com/our-food-programs/medically-tailored-meals/" TargetMode="External"/><Relationship Id="rId30" Type="http://schemas.openxmlformats.org/officeDocument/2006/relationships/hyperlink" Target="https://www.momsmeals.com/our-food-programs/medically-tailored-meals/" TargetMode="External"/><Relationship Id="rId35" Type="http://schemas.openxmlformats.org/officeDocument/2006/relationships/hyperlink" Target="https://www.momsmeals.com/our-food-programs/medically-tailored-meals/" TargetMode="External"/><Relationship Id="rId43" Type="http://schemas.openxmlformats.org/officeDocument/2006/relationships/hyperlink" Target="https://www.momsmeals.com/our-food-programs/medically-tailored-meals/" TargetMode="External"/><Relationship Id="rId48" Type="http://schemas.openxmlformats.org/officeDocument/2006/relationships/hyperlink" Target="https://www.momsmeals.com/our-food-programs/medically-tailored-meals/" TargetMode="External"/><Relationship Id="rId56" Type="http://schemas.openxmlformats.org/officeDocument/2006/relationships/hyperlink" Target="https://www.ahajournals.org/doi/epub/10.1161/CIRCOUTCOMES.122.009520" TargetMode="External"/><Relationship Id="rId64" Type="http://schemas.openxmlformats.org/officeDocument/2006/relationships/hyperlink" Target="https://portal.nifa.usda.gov/web/crisprojectpages/1033545-west-oahu-produce-rx-program-woprx.html" TargetMode="External"/><Relationship Id="rId8" Type="http://schemas.openxmlformats.org/officeDocument/2006/relationships/hyperlink" Target="https://www.momsmeals.com/our-food-programs/medically-tailored-meals/" TargetMode="External"/><Relationship Id="rId51" Type="http://schemas.openxmlformats.org/officeDocument/2006/relationships/hyperlink" Target="https://www.ahajournals.org/doi/epub/10.1161/CIRCOUTCOMES.122.009520" TargetMode="External"/><Relationship Id="rId3" Type="http://schemas.openxmlformats.org/officeDocument/2006/relationships/hyperlink" Target="https://www.momsmeals.com/our-food-programs/medically-tailored-meals/" TargetMode="External"/><Relationship Id="rId12" Type="http://schemas.openxmlformats.org/officeDocument/2006/relationships/hyperlink" Target="https://www.momsmeals.com/our-food-programs/medically-tailored-meals/" TargetMode="External"/><Relationship Id="rId17" Type="http://schemas.openxmlformats.org/officeDocument/2006/relationships/hyperlink" Target="https://www.momsmeals.com/our-food-programs/medically-tailored-meals/" TargetMode="External"/><Relationship Id="rId25" Type="http://schemas.openxmlformats.org/officeDocument/2006/relationships/hyperlink" Target="https://www.momsmeals.com/our-food-programs/medically-tailored-meals/" TargetMode="External"/><Relationship Id="rId33" Type="http://schemas.openxmlformats.org/officeDocument/2006/relationships/hyperlink" Target="https://ldh.la.gov/assets/docs/OAAS/CCWForms/MTMs-Nutritional-Counseling-Policy.pdf" TargetMode="External"/><Relationship Id="rId38" Type="http://schemas.openxmlformats.org/officeDocument/2006/relationships/hyperlink" Target="https://www.momsmeals.com/our-food-programs/medically-tailored-meals/" TargetMode="External"/><Relationship Id="rId46" Type="http://schemas.openxmlformats.org/officeDocument/2006/relationships/hyperlink" Target="https://www.hca.wa.gov/assets/program/mtp-nutrition-supports-fee-schedule.pdf" TargetMode="External"/><Relationship Id="rId59" Type="http://schemas.openxmlformats.org/officeDocument/2006/relationships/hyperlink" Target="https://sph.uth.edu/research/centers/dell/legislative-initiatives/docs/2022/Produce-Prescription-Rx-Programs-0822.pdf" TargetMode="External"/><Relationship Id="rId20" Type="http://schemas.openxmlformats.org/officeDocument/2006/relationships/hyperlink" Target="https://www.momsmeals.com/our-food-programs/medically-tailored-meals/" TargetMode="External"/><Relationship Id="rId41" Type="http://schemas.openxmlformats.org/officeDocument/2006/relationships/hyperlink" Target="https://www.momsmeals.com/our-food-programs/medically-tailored-meals/" TargetMode="External"/><Relationship Id="rId54" Type="http://schemas.openxmlformats.org/officeDocument/2006/relationships/hyperlink" Target="https://www.ahajournals.org/doi/epub/10.1161/CIRCOUTCOMES.122.009520" TargetMode="External"/><Relationship Id="rId62" Type="http://schemas.openxmlformats.org/officeDocument/2006/relationships/hyperlink" Target="https://www.umass.edu/public-health-sciences/news/produce-prescription-programs" TargetMode="External"/><Relationship Id="rId1" Type="http://schemas.openxmlformats.org/officeDocument/2006/relationships/hyperlink" Target="https://www.healthaffairs.org/doi/10.1377/hlthaff.2024.01307" TargetMode="External"/><Relationship Id="rId6" Type="http://schemas.openxmlformats.org/officeDocument/2006/relationships/hyperlink" Target="https://www.momsmeals.com/our-food-programs/medically-tailored-meals/" TargetMode="External"/><Relationship Id="rId15" Type="http://schemas.openxmlformats.org/officeDocument/2006/relationships/hyperlink" Target="https://www.momsmeals.com/our-food-programs/medically-tailored-meals/" TargetMode="External"/><Relationship Id="rId23" Type="http://schemas.openxmlformats.org/officeDocument/2006/relationships/hyperlink" Target="https://www.momsmeals.com/our-food-programs/medically-tailored-meals/" TargetMode="External"/><Relationship Id="rId28" Type="http://schemas.openxmlformats.org/officeDocument/2006/relationships/hyperlink" Target="https://www.momsmeals.com/our-food-programs/medically-tailored-meals/" TargetMode="External"/><Relationship Id="rId36" Type="http://schemas.openxmlformats.org/officeDocument/2006/relationships/hyperlink" Target="https://www.momsmeals.com/our-food-programs/medically-tailored-meals/" TargetMode="External"/><Relationship Id="rId49" Type="http://schemas.openxmlformats.org/officeDocument/2006/relationships/hyperlink" Target="https://www.momsmeals.com/our-food-programs/medically-tailored-meals/" TargetMode="External"/><Relationship Id="rId57" Type="http://schemas.openxmlformats.org/officeDocument/2006/relationships/hyperlink" Target="https://pmc.ncbi.nlm.nih.gov/articles/PMC10492976/" TargetMode="External"/><Relationship Id="rId10" Type="http://schemas.openxmlformats.org/officeDocument/2006/relationships/hyperlink" Target="https://www.momsmeals.com/our-food-programs/medically-tailored-meals/" TargetMode="External"/><Relationship Id="rId31" Type="http://schemas.openxmlformats.org/officeDocument/2006/relationships/hyperlink" Target="https://www.momsmeals.com/our-food-programs/medically-tailored-meals/" TargetMode="External"/><Relationship Id="rId44" Type="http://schemas.openxmlformats.org/officeDocument/2006/relationships/hyperlink" Target="https://www.momsmeals.com/our-food-programs/medically-tailored-meals/" TargetMode="External"/><Relationship Id="rId52" Type="http://schemas.openxmlformats.org/officeDocument/2006/relationships/hyperlink" Target="https://www.ahajournals.org/doi/epub/10.1161/CIRCOUTCOMES.122.009520" TargetMode="External"/><Relationship Id="rId60" Type="http://schemas.openxmlformats.org/officeDocument/2006/relationships/hyperlink" Target="https://www.farmfreshtoyou.com/producer/508/california-farms?srsltid=AfmBOopbo-SFG1qa-0_ho8RpaH4bRuR4iR1L2Nnz-4SbeAsB0PAwWRqE" TargetMode="External"/><Relationship Id="rId4" Type="http://schemas.openxmlformats.org/officeDocument/2006/relationships/hyperlink" Target="https://www.momsmeals.com/our-food-programs/medically-tailored-meals/" TargetMode="External"/><Relationship Id="rId9" Type="http://schemas.openxmlformats.org/officeDocument/2006/relationships/hyperlink" Target="https://www.momsmeals.com/our-food-programs/medically-tailored-meals/"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s://dyson.cornell.edu/wp-content/uploads/sites/5/2019/02/Cornell-Dyson-eb1807.pdf" TargetMode="External"/><Relationship Id="rId2" Type="http://schemas.openxmlformats.org/officeDocument/2006/relationships/hyperlink" Target="https://www.escoffier.edu/blog/world-food-drink/analysis-of-local-food-production/" TargetMode="External"/><Relationship Id="rId1" Type="http://schemas.openxmlformats.org/officeDocument/2006/relationships/hyperlink" Target="https://dyson.cornell.edu/wp-content/uploads/sites/5/2019/02/Cornell-Dyson-eb1807.pdf" TargetMode="External"/></Relationships>
</file>

<file path=xl/worksheets/_rels/sheet16.xml.rels><?xml version="1.0" encoding="UTF-8" standalone="yes"?>
<Relationships xmlns="http://schemas.openxmlformats.org/package/2006/relationships"><Relationship Id="rId2" Type="http://schemas.openxmlformats.org/officeDocument/2006/relationships/hyperlink" Target="https://www.dietaryguidelines.gov/sites/default/files/2021-03/Dietary_Guidelines_for_Americans-2020-2025.pdf" TargetMode="External"/><Relationship Id="rId1" Type="http://schemas.openxmlformats.org/officeDocument/2006/relationships/hyperlink" Target="https://www.bls.gov/regions/mid-atlantic/data/averageretailfoodandenergyprices_usandmidwest_table.htm"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s://www.nass.usda.gov/Publications/AgCensus/2022/Online_Resources/Typology/typology.pdf" TargetMode="External"/><Relationship Id="rId2" Type="http://schemas.openxmlformats.org/officeDocument/2006/relationships/hyperlink" Target="https://www.nass.usda.gov/Publications/AgCensus/2022/Online_Resources/Typology/typology.pdf" TargetMode="External"/><Relationship Id="rId1" Type="http://schemas.openxmlformats.org/officeDocument/2006/relationships/hyperlink" Target="https://www.nass.usda.gov/Publications/AgCensus/2022/Online_Resources/Typology/typology.pdf"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s://www.nass.usda.gov/Publications/AgCensus/2022/Full_Report/Volume_1,_Chapter_2_US_State_Level/st99_2_007_007.pdf" TargetMode="External"/><Relationship Id="rId2" Type="http://schemas.openxmlformats.org/officeDocument/2006/relationships/hyperlink" Target="https://apps.bea.gov/itable/?ReqID=70&amp;step=1&amp;_gl=1*17rf2g9*_ga*NzA0NTc1MjE5LjE3NjI1NDQ1MjY.*_ga_J4698JNNFT*czE3NjM1ODUzMzkkbzMkZzEkdDE3NjM1ODcwOTIkajE0JGwwJGgw" TargetMode="External"/><Relationship Id="rId1" Type="http://schemas.openxmlformats.org/officeDocument/2006/relationships/hyperlink" Target="https://apps.bea.gov/itable/?ReqID=70&amp;step=1&amp;_gl=1*17rf2g9*_ga*NzA0NTc1MjE5LjE3NjI1NDQ1MjY.*_ga_J4698JNNFT*czE3NjM1ODUzMzkkbzMkZzEkdDE3NjM1ODcwOTIkajE0JGwwJGgw" TargetMode="External"/></Relationships>
</file>

<file path=xl/worksheets/_rels/sheet20.xml.rels><?xml version="1.0" encoding="UTF-8" standalone="yes"?>
<Relationships xmlns="http://schemas.openxmlformats.org/package/2006/relationships"><Relationship Id="rId2" Type="http://schemas.openxmlformats.org/officeDocument/2006/relationships/hyperlink" Target="https://journals.sagepub.com/doi/10.1177/08912424241282425" TargetMode="External"/><Relationship Id="rId1" Type="http://schemas.openxmlformats.org/officeDocument/2006/relationships/hyperlink" Target="https://journals.sagepub.com/doi/10.1177/08912424241282425"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www.ahajournals.org/doi/10.1161/CIR.0000000000001343" TargetMode="External"/><Relationship Id="rId18" Type="http://schemas.openxmlformats.org/officeDocument/2006/relationships/hyperlink" Target="https://www.bls.gov/regions/mid-atlantic/data/averageretailfoodandenergyprices_usandmidwest_table.htm" TargetMode="External"/><Relationship Id="rId26" Type="http://schemas.openxmlformats.org/officeDocument/2006/relationships/hyperlink" Target="https://www.canr.msu.edu/news/small_medium_large_does_farm_size_really_matter" TargetMode="External"/><Relationship Id="rId3" Type="http://schemas.openxmlformats.org/officeDocument/2006/relationships/hyperlink" Target="https://www.cdc.gov/brfss/annual_data/annual_2024.html" TargetMode="External"/><Relationship Id="rId21" Type="http://schemas.openxmlformats.org/officeDocument/2006/relationships/hyperlink" Target="https://www.bls.gov/regions/mid-atlantic/data/averageretailfoodandenergyprices_usandmidwest_table.htm" TargetMode="External"/><Relationship Id="rId7" Type="http://schemas.openxmlformats.org/officeDocument/2006/relationships/hyperlink" Target="https://www.cdc.gov/brfss/annual_data/annual_2024.html" TargetMode="External"/><Relationship Id="rId12" Type="http://schemas.openxmlformats.org/officeDocument/2006/relationships/hyperlink" Target="https://www.ahajournals.org/doi/10.1161/CIR.0000000000001343" TargetMode="External"/><Relationship Id="rId17" Type="http://schemas.openxmlformats.org/officeDocument/2006/relationships/hyperlink" Target="https://www.momsmeals.com/our-food-programs/medically-tailored-meals/" TargetMode="External"/><Relationship Id="rId25" Type="http://schemas.openxmlformats.org/officeDocument/2006/relationships/hyperlink" Target=":/www.nass.usda.gov/Publications/AgCensus/2022/Online_Resources/Typology/typology.pdf" TargetMode="External"/><Relationship Id="rId33" Type="http://schemas.openxmlformats.org/officeDocument/2006/relationships/drawing" Target="../drawings/drawing1.xml"/><Relationship Id="rId2" Type="http://schemas.openxmlformats.org/officeDocument/2006/relationships/hyperlink" Target="https://www.cdc.gov/brfss/annual_data/annual_2024.html" TargetMode="External"/><Relationship Id="rId16" Type="http://schemas.openxmlformats.org/officeDocument/2006/relationships/hyperlink" Target="https://www.brighterbites.org/food-is-medicine/" TargetMode="External"/><Relationship Id="rId20" Type="http://schemas.openxmlformats.org/officeDocument/2006/relationships/hyperlink" Target="https://www.bls.gov/regions/mid-atlantic/data/averageretailfoodandenergyprices_usandmidwest_table.htm" TargetMode="External"/><Relationship Id="rId29" Type="http://schemas.openxmlformats.org/officeDocument/2006/relationships/hyperlink" Target="https://www.ncdhhs.gov/healthy-opportunities-pilot-fee-schedule-and-service-definitions/open" TargetMode="External"/><Relationship Id="rId1" Type="http://schemas.openxmlformats.org/officeDocument/2006/relationships/hyperlink" Target="https://www.census.gov/data/tables/time-series/demo/popest/2020s-state-total.html" TargetMode="External"/><Relationship Id="rId6" Type="http://schemas.openxmlformats.org/officeDocument/2006/relationships/hyperlink" Target="https://www.cdc.gov/brfss/annual_data/annual_2024.html" TargetMode="External"/><Relationship Id="rId11" Type="http://schemas.openxmlformats.org/officeDocument/2006/relationships/hyperlink" Target="https://www.healthaffairs.org/doi/10.1377/hlthaff.2024.01307" TargetMode="External"/><Relationship Id="rId24" Type="http://schemas.openxmlformats.org/officeDocument/2006/relationships/hyperlink" Target=":/www.nass.usda.gov/Publications/AgCensus/2022/Online_Resources/Typology/typology.pdf" TargetMode="External"/><Relationship Id="rId32" Type="http://schemas.openxmlformats.org/officeDocument/2006/relationships/hyperlink" Target="https://tuftsfoodismedicine.org/wp-content/uploads/2023/09/Tufts_True_Cost_of_FIM_Case-Study_Report_Sep_2023.pdf" TargetMode="External"/><Relationship Id="rId5" Type="http://schemas.openxmlformats.org/officeDocument/2006/relationships/hyperlink" Target="https://www.cdc.gov/brfss/annual_data/annual_2024.html" TargetMode="External"/><Relationship Id="rId15" Type="http://schemas.openxmlformats.org/officeDocument/2006/relationships/hyperlink" Target="https://www.brighterbites.org/food-is-medicine/" TargetMode="External"/><Relationship Id="rId23" Type="http://schemas.openxmlformats.org/officeDocument/2006/relationships/hyperlink" Target=":/www.nass.usda.gov/Publications/AgCensus/2022/Online_Resources/Typology/typology.pdf" TargetMode="External"/><Relationship Id="rId28" Type="http://schemas.openxmlformats.org/officeDocument/2006/relationships/hyperlink" Target="https://journals.sagepub.com/doi/10.1177/08912424241282425" TargetMode="External"/><Relationship Id="rId10" Type="http://schemas.openxmlformats.org/officeDocument/2006/relationships/hyperlink" Target="https://www.healthaffairs.org/doi/10.1377/hlthaff.2024.01307" TargetMode="External"/><Relationship Id="rId19" Type="http://schemas.openxmlformats.org/officeDocument/2006/relationships/hyperlink" Target="https://www.bls.gov/regions/mid-atlantic/data/averageretailfoodandenergyprices_usandmidwest_table.htm" TargetMode="External"/><Relationship Id="rId31" Type="http://schemas.openxmlformats.org/officeDocument/2006/relationships/hyperlink" Target="https://www.momsmeals.com/our-food-programs/medically-tailored-meals/" TargetMode="External"/><Relationship Id="rId4" Type="http://schemas.openxmlformats.org/officeDocument/2006/relationships/hyperlink" Target="https://www.census.gov/data/tables/time-series/demo/popest/2020s-state-total.html" TargetMode="External"/><Relationship Id="rId9" Type="http://schemas.openxmlformats.org/officeDocument/2006/relationships/hyperlink" Target="https://www.ers.usda.gov/topics/food-nutrition-assistance/food-security-in-the-us/key-statistics-graphics" TargetMode="External"/><Relationship Id="rId14" Type="http://schemas.openxmlformats.org/officeDocument/2006/relationships/hyperlink" Target="https://tuftsfoodismedicine.org/wp-content/uploads/2023/09/Tufts_True_Cost_of_FIM_Case-Study_Report_Sep_2023.pdf" TargetMode="External"/><Relationship Id="rId22" Type="http://schemas.openxmlformats.org/officeDocument/2006/relationships/hyperlink" Target=":/www.nass.usda.gov/Publications/AgCensus/2022/Online_Resources/Typology/typology.pdf" TargetMode="External"/><Relationship Id="rId27" Type="http://schemas.openxmlformats.org/officeDocument/2006/relationships/hyperlink" Target="https://www.canr.msu.edu/news/small_medium_large_does_farm_size_really_matter" TargetMode="External"/><Relationship Id="rId30" Type="http://schemas.openxmlformats.org/officeDocument/2006/relationships/hyperlink" Target="https://tuftsfoodismedicine.org/wp-content/uploads/2023/09/Tufts_True_Cost_of_FIM_Case-Study_Report_Sep_2023.pdf" TargetMode="External"/><Relationship Id="rId8" Type="http://schemas.openxmlformats.org/officeDocument/2006/relationships/hyperlink" Target="https://www.census.gov/data/tables/time-series/demo/popest/2020s-state-total.html"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apps.bea.gov/itable/?ReqID=70&amp;step=1&amp;_gl=1*17rf2g9*_ga*NzA0NTc1MjE5LjE3NjI1NDQ1MjY.*_ga_J4698JNNFT*czE3NjM1ODUzMzkkbzMkZzEkdDE3NjM1ODcwOTIkajE0JGwwJGgw" TargetMode="External"/><Relationship Id="rId3" Type="http://schemas.openxmlformats.org/officeDocument/2006/relationships/hyperlink" Target="https://www.census.gov/data/tables/time-series/demo/popest/2020s-state-total.html" TargetMode="External"/><Relationship Id="rId7" Type="http://schemas.openxmlformats.org/officeDocument/2006/relationships/hyperlink" Target="https://apps.bea.gov/itable/?ReqID=70&amp;step=1&amp;_gl=1*17rf2g9*_ga*NzA0NTc1MjE5LjE3NjI1NDQ1MjY.*_ga_J4698JNNFT*czE3NjM1ODUzMzkkbzMkZzEkdDE3NjM1ODcwOTIkajE0JGwwJGgw" TargetMode="External"/><Relationship Id="rId12" Type="http://schemas.openxmlformats.org/officeDocument/2006/relationships/hyperlink" Target="https://www.census.gov/data/tables/time-series/demo/popest/2020s-state-total.html" TargetMode="External"/><Relationship Id="rId2" Type="http://schemas.openxmlformats.org/officeDocument/2006/relationships/hyperlink" Target="https://worldpopulationreview.com/state-rankings/most-rural-states" TargetMode="External"/><Relationship Id="rId1" Type="http://schemas.openxmlformats.org/officeDocument/2006/relationships/hyperlink" Target="https://www.census.gov/data/tables/time-series/demo/popest/2020s-state-total.html" TargetMode="External"/><Relationship Id="rId6" Type="http://schemas.openxmlformats.org/officeDocument/2006/relationships/hyperlink" Target="https://data.census.gov/table/ACSDT1Y2024.C17002?q=C17002+Federal+Poverty+Level+2024+ACS+1-Year&amp;g=010XX00US_040XX00US01,02,04,05,06,08,09,10,12,13,15,16,17,18,19,20,21,22,23,24,25,26,27,28,29,30,31,32,33,34,35,36,37,38,39,40,41,42,44,45,46,47,48,49,50,51,53,54,55,56" TargetMode="External"/><Relationship Id="rId11" Type="http://schemas.openxmlformats.org/officeDocument/2006/relationships/hyperlink" Target="https://www.cdc.gov/brfss/brfssprevalence/index.html" TargetMode="External"/><Relationship Id="rId5" Type="http://schemas.openxmlformats.org/officeDocument/2006/relationships/hyperlink" Target="https://data.census.gov/table/ACSDT1Y2024.C17002?q=C17002+Federal+Poverty+Level+2024+ACS+1-Year&amp;g=010XX00US_040XX00US01,02,04,05,06,08,09,10,12,13,15,16,17,18,19,20,21,22,23,24,25,26,27,28,29,30,31,32,33,34,35,36,37,38,39,40,41,42,44,45,46,47,48,49,50,51,53,54,55,56" TargetMode="External"/><Relationship Id="rId10" Type="http://schemas.openxmlformats.org/officeDocument/2006/relationships/hyperlink" Target="https://apps.bea.gov/itable/?ReqID=70&amp;step=1&amp;_gl=1*w8ismq*_ga*NzA0NTc1MjE5LjE3NjI1NDQ1MjY.*_ga_J4698JNNFT*czE3NjM3NTgyNjAkbzUkZzEkdDE3NjM3NjAzMTYkajYwJGwwJGgw" TargetMode="External"/><Relationship Id="rId4" Type="http://schemas.openxmlformats.org/officeDocument/2006/relationships/hyperlink" Target="https://worldpopulationreview.com/state-rankings/most-rural-states" TargetMode="External"/><Relationship Id="rId9" Type="http://schemas.openxmlformats.org/officeDocument/2006/relationships/hyperlink" Target="https://apps.bea.gov/itable/?ReqID=70&amp;step=1&amp;_gl=1*w8ismq*_ga*NzA0NTc1MjE5LjE3NjI1NDQ1MjY.*_ga_J4698JNNFT*czE3NjM3NTgyNjAkbzUkZzEkdDE3NjM3NjAzMTYkajYwJGwwJGgw"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canr.msu.edu/news/small_medium_large_does_farm_size_really_matter" TargetMode="External"/><Relationship Id="rId3" Type="http://schemas.openxmlformats.org/officeDocument/2006/relationships/hyperlink" Target="https://www.ahajournals.org/doi/10.1161/CIR.0000000000001343" TargetMode="External"/><Relationship Id="rId7" Type="http://schemas.openxmlformats.org/officeDocument/2006/relationships/hyperlink" Target="https://www.canr.msu.edu/news/small_medium_large_does_farm_size_really_matter" TargetMode="External"/><Relationship Id="rId2" Type="http://schemas.openxmlformats.org/officeDocument/2006/relationships/hyperlink" Target="https://www.healthaffairs.org/doi/10.1377/hlthaff.2024.01307" TargetMode="External"/><Relationship Id="rId1" Type="http://schemas.openxmlformats.org/officeDocument/2006/relationships/hyperlink" Target="https://www.bls.gov/regions/mid-atlantic/data/averageretailfoodandenergyprices_usandmidwest_table.htm" TargetMode="External"/><Relationship Id="rId6" Type="http://schemas.openxmlformats.org/officeDocument/2006/relationships/hyperlink" Target="https://www.brighterbites.org/food-is-medicine/" TargetMode="External"/><Relationship Id="rId5" Type="http://schemas.openxmlformats.org/officeDocument/2006/relationships/hyperlink" Target="https://tuftsfoodismedicine.org/wp-content/uploads/2023/09/Tufts_True_Cost_of_FIM_Case-Study_Report_Sep_2023.pdf" TargetMode="External"/><Relationship Id="rId4" Type="http://schemas.openxmlformats.org/officeDocument/2006/relationships/hyperlink" Target="https://ers.usda.gov/data-products/charts-of-note/chart-detail?chartId=110693" TargetMode="External"/></Relationships>
</file>

<file path=xl/worksheets/_rels/sheet9.xml.rels><?xml version="1.0" encoding="UTF-8" standalone="yes"?>
<Relationships xmlns="http://schemas.openxmlformats.org/package/2006/relationships"><Relationship Id="rId13" Type="http://schemas.openxmlformats.org/officeDocument/2006/relationships/hyperlink" Target="https://www.census.gov/library/visualizations/interactive/health-insurance-coverage-and-type-by-state.html" TargetMode="External"/><Relationship Id="rId18" Type="http://schemas.openxmlformats.org/officeDocument/2006/relationships/hyperlink" Target="https://www.census.gov/library/visualizations/interactive/health-insurance-coverage-and-type-by-state.html" TargetMode="External"/><Relationship Id="rId26" Type="http://schemas.openxmlformats.org/officeDocument/2006/relationships/hyperlink" Target="https://www.census.gov/library/visualizations/interactive/health-insurance-coverage-and-type-by-state.html" TargetMode="External"/><Relationship Id="rId39" Type="http://schemas.openxmlformats.org/officeDocument/2006/relationships/hyperlink" Target="https://www.census.gov/library/visualizations/interactive/health-insurance-coverage-and-type-by-state.html" TargetMode="External"/><Relationship Id="rId21" Type="http://schemas.openxmlformats.org/officeDocument/2006/relationships/hyperlink" Target="https://www.census.gov/library/visualizations/interactive/health-insurance-coverage-and-type-by-state.html" TargetMode="External"/><Relationship Id="rId34" Type="http://schemas.openxmlformats.org/officeDocument/2006/relationships/hyperlink" Target="https://www.census.gov/library/visualizations/interactive/health-insurance-coverage-and-type-by-state.html" TargetMode="External"/><Relationship Id="rId42" Type="http://schemas.openxmlformats.org/officeDocument/2006/relationships/hyperlink" Target="https://www.census.gov/library/visualizations/interactive/health-insurance-coverage-and-type-by-state.html" TargetMode="External"/><Relationship Id="rId47" Type="http://schemas.openxmlformats.org/officeDocument/2006/relationships/hyperlink" Target="https://www.census.gov/library/visualizations/interactive/health-insurance-coverage-and-type-by-state.html" TargetMode="External"/><Relationship Id="rId50" Type="http://schemas.openxmlformats.org/officeDocument/2006/relationships/hyperlink" Target="https://www.census.gov/library/visualizations/interactive/health-insurance-coverage-and-type-by-state.html" TargetMode="External"/><Relationship Id="rId7" Type="http://schemas.openxmlformats.org/officeDocument/2006/relationships/hyperlink" Target="https://www.census.gov/library/visualizations/interactive/health-insurance-coverage-and-type-by-state.html" TargetMode="External"/><Relationship Id="rId2" Type="http://schemas.openxmlformats.org/officeDocument/2006/relationships/hyperlink" Target="https://www.kff.org/state-health-policy-data/state-indicator/total-population/?currentTimeframe=0&amp;sortModel=%7B%22colId%22:%22Location%22,%22sort%22:%22asc%22%7D" TargetMode="External"/><Relationship Id="rId16" Type="http://schemas.openxmlformats.org/officeDocument/2006/relationships/hyperlink" Target="https://www.census.gov/library/visualizations/interactive/health-insurance-coverage-and-type-by-state.html" TargetMode="External"/><Relationship Id="rId29" Type="http://schemas.openxmlformats.org/officeDocument/2006/relationships/hyperlink" Target="https://www.census.gov/library/visualizations/interactive/health-insurance-coverage-and-type-by-state.html" TargetMode="External"/><Relationship Id="rId11" Type="http://schemas.openxmlformats.org/officeDocument/2006/relationships/hyperlink" Target="https://www.census.gov/library/visualizations/interactive/health-insurance-coverage-and-type-by-state.html" TargetMode="External"/><Relationship Id="rId24" Type="http://schemas.openxmlformats.org/officeDocument/2006/relationships/hyperlink" Target="https://www.census.gov/library/visualizations/interactive/health-insurance-coverage-and-type-by-state.html" TargetMode="External"/><Relationship Id="rId32" Type="http://schemas.openxmlformats.org/officeDocument/2006/relationships/hyperlink" Target="https://www.census.gov/library/visualizations/interactive/health-insurance-coverage-and-type-by-state.html" TargetMode="External"/><Relationship Id="rId37" Type="http://schemas.openxmlformats.org/officeDocument/2006/relationships/hyperlink" Target="https://www.census.gov/library/visualizations/interactive/health-insurance-coverage-and-type-by-state.html" TargetMode="External"/><Relationship Id="rId40" Type="http://schemas.openxmlformats.org/officeDocument/2006/relationships/hyperlink" Target="https://www.census.gov/library/visualizations/interactive/health-insurance-coverage-and-type-by-state.html" TargetMode="External"/><Relationship Id="rId45" Type="http://schemas.openxmlformats.org/officeDocument/2006/relationships/hyperlink" Target="https://www.census.gov/library/visualizations/interactive/health-insurance-coverage-and-type-by-state.html" TargetMode="External"/><Relationship Id="rId53" Type="http://schemas.openxmlformats.org/officeDocument/2006/relationships/hyperlink" Target="https://www.census.gov/library/visualizations/interactive/health-insurance-coverage-and-type-by-state.html" TargetMode="External"/><Relationship Id="rId5" Type="http://schemas.openxmlformats.org/officeDocument/2006/relationships/hyperlink" Target="https://www.census.gov/library/visualizations/interactive/health-insurance-coverage-and-type-by-state.html" TargetMode="External"/><Relationship Id="rId10" Type="http://schemas.openxmlformats.org/officeDocument/2006/relationships/hyperlink" Target="https://www.census.gov/library/visualizations/interactive/health-insurance-coverage-and-type-by-state.html" TargetMode="External"/><Relationship Id="rId19" Type="http://schemas.openxmlformats.org/officeDocument/2006/relationships/hyperlink" Target="https://www.census.gov/library/visualizations/interactive/health-insurance-coverage-and-type-by-state.html" TargetMode="External"/><Relationship Id="rId31" Type="http://schemas.openxmlformats.org/officeDocument/2006/relationships/hyperlink" Target="https://www.census.gov/library/visualizations/interactive/health-insurance-coverage-and-type-by-state.html" TargetMode="External"/><Relationship Id="rId44" Type="http://schemas.openxmlformats.org/officeDocument/2006/relationships/hyperlink" Target="https://www.census.gov/library/visualizations/interactive/health-insurance-coverage-and-type-by-state.html" TargetMode="External"/><Relationship Id="rId52" Type="http://schemas.openxmlformats.org/officeDocument/2006/relationships/hyperlink" Target="https://www.census.gov/library/visualizations/interactive/health-insurance-coverage-and-type-by-state.html" TargetMode="External"/><Relationship Id="rId4" Type="http://schemas.openxmlformats.org/officeDocument/2006/relationships/hyperlink" Target="https://www.kff.org/state-health-policy-data/state-indicator/total-population/?currentTimeframe=0&amp;sortModel=%7B%22colId%22:%22Location%22,%22sort%22:%22asc%22%7D" TargetMode="External"/><Relationship Id="rId9" Type="http://schemas.openxmlformats.org/officeDocument/2006/relationships/hyperlink" Target="https://www.census.gov/library/visualizations/interactive/health-insurance-coverage-and-type-by-state.html" TargetMode="External"/><Relationship Id="rId14" Type="http://schemas.openxmlformats.org/officeDocument/2006/relationships/hyperlink" Target="https://www.census.gov/library/visualizations/interactive/health-insurance-coverage-and-type-by-state.html" TargetMode="External"/><Relationship Id="rId22" Type="http://schemas.openxmlformats.org/officeDocument/2006/relationships/hyperlink" Target="https://www.census.gov/library/visualizations/interactive/health-insurance-coverage-and-type-by-state.html" TargetMode="External"/><Relationship Id="rId27" Type="http://schemas.openxmlformats.org/officeDocument/2006/relationships/hyperlink" Target="https://www.census.gov/library/visualizations/interactive/health-insurance-coverage-and-type-by-state.html" TargetMode="External"/><Relationship Id="rId30" Type="http://schemas.openxmlformats.org/officeDocument/2006/relationships/hyperlink" Target="https://www.census.gov/library/visualizations/interactive/health-insurance-coverage-and-type-by-state.html" TargetMode="External"/><Relationship Id="rId35" Type="http://schemas.openxmlformats.org/officeDocument/2006/relationships/hyperlink" Target="https://www.census.gov/library/visualizations/interactive/health-insurance-coverage-and-type-by-state.html" TargetMode="External"/><Relationship Id="rId43" Type="http://schemas.openxmlformats.org/officeDocument/2006/relationships/hyperlink" Target="https://www.census.gov/library/visualizations/interactive/health-insurance-coverage-and-type-by-state.html" TargetMode="External"/><Relationship Id="rId48" Type="http://schemas.openxmlformats.org/officeDocument/2006/relationships/hyperlink" Target="https://www.census.gov/library/visualizations/interactive/health-insurance-coverage-and-type-by-state.html" TargetMode="External"/><Relationship Id="rId8" Type="http://schemas.openxmlformats.org/officeDocument/2006/relationships/hyperlink" Target="https://www.census.gov/library/visualizations/interactive/health-insurance-coverage-and-type-by-state.html" TargetMode="External"/><Relationship Id="rId51" Type="http://schemas.openxmlformats.org/officeDocument/2006/relationships/hyperlink" Target="https://www.census.gov/library/visualizations/interactive/health-insurance-coverage-and-type-by-state.html" TargetMode="External"/><Relationship Id="rId3" Type="http://schemas.openxmlformats.org/officeDocument/2006/relationships/hyperlink" Target="https://www.kff.org/state-health-policy-data/state-indicator/total-population/?currentTimeframe=0&amp;sortModel=%7B%22colId%22:%22Location%22,%22sort%22:%22asc%22%7D" TargetMode="External"/><Relationship Id="rId12" Type="http://schemas.openxmlformats.org/officeDocument/2006/relationships/hyperlink" Target="https://www.census.gov/library/visualizations/interactive/health-insurance-coverage-and-type-by-state.html" TargetMode="External"/><Relationship Id="rId17" Type="http://schemas.openxmlformats.org/officeDocument/2006/relationships/hyperlink" Target="https://www.census.gov/library/visualizations/interactive/health-insurance-coverage-and-type-by-state.html" TargetMode="External"/><Relationship Id="rId25" Type="http://schemas.openxmlformats.org/officeDocument/2006/relationships/hyperlink" Target="https://www.census.gov/library/visualizations/interactive/health-insurance-coverage-and-type-by-state.html" TargetMode="External"/><Relationship Id="rId33" Type="http://schemas.openxmlformats.org/officeDocument/2006/relationships/hyperlink" Target="https://www.census.gov/library/visualizations/interactive/health-insurance-coverage-and-type-by-state.html" TargetMode="External"/><Relationship Id="rId38" Type="http://schemas.openxmlformats.org/officeDocument/2006/relationships/hyperlink" Target="https://www.census.gov/library/visualizations/interactive/health-insurance-coverage-and-type-by-state.html" TargetMode="External"/><Relationship Id="rId46" Type="http://schemas.openxmlformats.org/officeDocument/2006/relationships/hyperlink" Target="https://www.census.gov/library/visualizations/interactive/health-insurance-coverage-and-type-by-state.html" TargetMode="External"/><Relationship Id="rId20" Type="http://schemas.openxmlformats.org/officeDocument/2006/relationships/hyperlink" Target="https://www.census.gov/library/visualizations/interactive/health-insurance-coverage-and-type-by-state.html" TargetMode="External"/><Relationship Id="rId41" Type="http://schemas.openxmlformats.org/officeDocument/2006/relationships/hyperlink" Target="https://www.census.gov/library/visualizations/interactive/health-insurance-coverage-and-type-by-state.html" TargetMode="External"/><Relationship Id="rId54" Type="http://schemas.openxmlformats.org/officeDocument/2006/relationships/hyperlink" Target="https://www.census.gov/library/visualizations/interactive/health-insurance-coverage-and-type-by-state.html" TargetMode="External"/><Relationship Id="rId1" Type="http://schemas.openxmlformats.org/officeDocument/2006/relationships/hyperlink" Target="https://www.kff.org/state-health-policy-data/state-indicator/total-population/?currentTimeframe=0&amp;sortModel=%7B%22colId%22:%22Location%22,%22sort%22:%22asc%22%7D" TargetMode="External"/><Relationship Id="rId6" Type="http://schemas.openxmlformats.org/officeDocument/2006/relationships/hyperlink" Target="https://www.census.gov/library/visualizations/interactive/health-insurance-coverage-and-type-by-state.html" TargetMode="External"/><Relationship Id="rId15" Type="http://schemas.openxmlformats.org/officeDocument/2006/relationships/hyperlink" Target="https://www.census.gov/library/visualizations/interactive/health-insurance-coverage-and-type-by-state.html" TargetMode="External"/><Relationship Id="rId23" Type="http://schemas.openxmlformats.org/officeDocument/2006/relationships/hyperlink" Target="https://www.census.gov/library/visualizations/interactive/health-insurance-coverage-and-type-by-state.html" TargetMode="External"/><Relationship Id="rId28" Type="http://schemas.openxmlformats.org/officeDocument/2006/relationships/hyperlink" Target="https://www.census.gov/library/visualizations/interactive/health-insurance-coverage-and-type-by-state.html" TargetMode="External"/><Relationship Id="rId36" Type="http://schemas.openxmlformats.org/officeDocument/2006/relationships/hyperlink" Target="https://www.census.gov/library/visualizations/interactive/health-insurance-coverage-and-type-by-state.html" TargetMode="External"/><Relationship Id="rId49" Type="http://schemas.openxmlformats.org/officeDocument/2006/relationships/hyperlink" Target="https://www.census.gov/library/visualizations/interactive/health-insurance-coverage-and-type-by-state.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1B213-0B85-4C89-BEEE-025E2C2B59E0}">
  <sheetPr>
    <tabColor rgb="FF72B2AF"/>
  </sheetPr>
  <dimension ref="A1:E56"/>
  <sheetViews>
    <sheetView topLeftCell="A45" zoomScale="90" zoomScaleNormal="90" workbookViewId="0">
      <selection activeCell="G24" sqref="G24"/>
    </sheetView>
  </sheetViews>
  <sheetFormatPr defaultColWidth="9" defaultRowHeight="14.25" outlineLevelRow="1"/>
  <cols>
    <col min="1" max="1" width="7" style="26" customWidth="1"/>
    <col min="2" max="2" width="56.42578125" style="26" customWidth="1"/>
    <col min="3" max="3" width="76.140625" style="26" customWidth="1"/>
    <col min="4" max="4" width="82.85546875" style="26" customWidth="1"/>
    <col min="5" max="16384" width="9" style="26"/>
  </cols>
  <sheetData>
    <row r="1" spans="1:5" ht="15.6">
      <c r="A1" s="27"/>
      <c r="B1" s="27"/>
      <c r="C1" s="27"/>
      <c r="D1" s="27"/>
      <c r="E1" s="27"/>
    </row>
    <row r="2" spans="1:5" ht="15.6">
      <c r="A2" s="27"/>
      <c r="B2" s="46"/>
      <c r="C2" s="47"/>
      <c r="D2" s="47"/>
      <c r="E2" s="27"/>
    </row>
    <row r="3" spans="1:5" ht="23.1">
      <c r="A3" s="27"/>
      <c r="B3" s="390" t="s">
        <v>0</v>
      </c>
      <c r="C3" s="390"/>
      <c r="D3" s="390"/>
      <c r="E3" s="27"/>
    </row>
    <row r="4" spans="1:5" ht="29.25" customHeight="1">
      <c r="A4" s="27"/>
      <c r="B4" s="391" t="s">
        <v>1</v>
      </c>
      <c r="C4" s="391"/>
      <c r="D4" s="391"/>
      <c r="E4" s="27"/>
    </row>
    <row r="5" spans="1:5" ht="15.6">
      <c r="A5" s="27"/>
      <c r="B5" s="48"/>
      <c r="C5" s="48"/>
      <c r="D5" s="48"/>
      <c r="E5" s="27"/>
    </row>
    <row r="6" spans="1:5" ht="15.6">
      <c r="A6" s="27"/>
      <c r="B6" s="27"/>
      <c r="C6" s="27"/>
      <c r="D6" s="27"/>
      <c r="E6" s="27"/>
    </row>
    <row r="7" spans="1:5" ht="15.6">
      <c r="A7" s="27"/>
      <c r="B7" s="28" t="s">
        <v>2</v>
      </c>
      <c r="C7" s="27"/>
      <c r="D7" s="29"/>
      <c r="E7" s="27"/>
    </row>
    <row r="8" spans="1:5" ht="15.6">
      <c r="A8" s="27"/>
      <c r="B8" s="28" t="s">
        <v>3</v>
      </c>
      <c r="C8" s="27"/>
      <c r="D8" s="45"/>
      <c r="E8" s="27"/>
    </row>
    <row r="9" spans="1:5" ht="16.350000000000001" thickBot="1">
      <c r="A9" s="27"/>
      <c r="B9" s="27"/>
      <c r="C9" s="27"/>
      <c r="D9" s="30"/>
      <c r="E9" s="27"/>
    </row>
    <row r="10" spans="1:5" ht="21.75" thickTop="1" thickBot="1">
      <c r="A10" s="31"/>
      <c r="B10" s="49" t="s">
        <v>4</v>
      </c>
      <c r="C10" s="32"/>
      <c r="D10" s="32"/>
      <c r="E10" s="33"/>
    </row>
    <row r="11" spans="1:5" ht="16.5" customHeight="1" thickTop="1">
      <c r="A11" s="27"/>
      <c r="C11" s="50"/>
      <c r="D11" s="50"/>
      <c r="E11" s="34"/>
    </row>
    <row r="12" spans="1:5" ht="120.2" customHeight="1">
      <c r="A12" s="27"/>
      <c r="B12" s="392" t="s">
        <v>5</v>
      </c>
      <c r="C12" s="392"/>
      <c r="D12" s="392"/>
      <c r="E12" s="35"/>
    </row>
    <row r="13" spans="1:5" ht="16.350000000000001" thickBot="1">
      <c r="A13" s="27"/>
      <c r="B13" s="36"/>
      <c r="C13" s="36"/>
      <c r="D13" s="36"/>
      <c r="E13" s="35"/>
    </row>
    <row r="14" spans="1:5" ht="21.75" thickTop="1" thickBot="1">
      <c r="A14" s="31"/>
      <c r="B14" s="49" t="s">
        <v>6</v>
      </c>
      <c r="C14" s="32"/>
      <c r="D14" s="32"/>
      <c r="E14" s="37"/>
    </row>
    <row r="15" spans="1:5" ht="16.5" customHeight="1" thickTop="1">
      <c r="A15" s="27"/>
      <c r="B15" s="34"/>
      <c r="C15" s="34"/>
      <c r="D15" s="34"/>
      <c r="E15" s="35"/>
    </row>
    <row r="16" spans="1:5" ht="67.900000000000006" customHeight="1">
      <c r="A16" s="27"/>
      <c r="B16" s="393" t="s">
        <v>7</v>
      </c>
      <c r="C16" s="393"/>
      <c r="D16" s="393"/>
      <c r="E16" s="35"/>
    </row>
    <row r="17" spans="1:5" ht="15.6">
      <c r="A17" s="27"/>
      <c r="B17" s="38"/>
      <c r="C17" s="38"/>
      <c r="D17" s="38"/>
      <c r="E17" s="35"/>
    </row>
    <row r="18" spans="1:5" ht="16.350000000000001" thickBot="1">
      <c r="A18" s="27"/>
      <c r="B18" s="38"/>
      <c r="C18" s="38"/>
      <c r="D18" s="38"/>
      <c r="E18" s="35"/>
    </row>
    <row r="19" spans="1:5" ht="21.75" thickTop="1" thickBot="1">
      <c r="A19" s="39"/>
      <c r="B19" s="49" t="s">
        <v>8</v>
      </c>
      <c r="C19" s="32"/>
      <c r="D19" s="32"/>
      <c r="E19" s="37"/>
    </row>
    <row r="20" spans="1:5" ht="16.350000000000001" thickTop="1">
      <c r="A20" s="27"/>
      <c r="B20" s="34"/>
      <c r="C20" s="34"/>
      <c r="D20" s="34"/>
      <c r="E20" s="35"/>
    </row>
    <row r="21" spans="1:5" ht="54.2" customHeight="1">
      <c r="A21" s="27"/>
      <c r="B21" s="388" t="s">
        <v>9</v>
      </c>
      <c r="C21" s="389"/>
      <c r="D21" s="389"/>
      <c r="E21" s="35"/>
    </row>
    <row r="22" spans="1:5" ht="15.6">
      <c r="A22" s="27"/>
      <c r="B22" s="34"/>
      <c r="C22" s="34"/>
      <c r="D22" s="34"/>
      <c r="E22" s="35"/>
    </row>
    <row r="23" spans="1:5" ht="17.649999999999999">
      <c r="A23" s="27"/>
      <c r="B23" s="40" t="s">
        <v>10</v>
      </c>
      <c r="C23" s="40" t="s">
        <v>11</v>
      </c>
      <c r="D23" s="40" t="s">
        <v>12</v>
      </c>
      <c r="E23" s="35"/>
    </row>
    <row r="24" spans="1:5" ht="15.6">
      <c r="A24" s="27"/>
      <c r="B24" s="41"/>
      <c r="C24" s="42"/>
      <c r="D24" s="27"/>
      <c r="E24" s="35"/>
    </row>
    <row r="25" spans="1:5" ht="36.75" customHeight="1">
      <c r="A25" s="27"/>
      <c r="B25" s="51" t="s">
        <v>13</v>
      </c>
      <c r="C25" s="52" t="s">
        <v>14</v>
      </c>
      <c r="D25" s="53" t="s">
        <v>15</v>
      </c>
      <c r="E25" s="35"/>
    </row>
    <row r="26" spans="1:5" ht="36.75" customHeight="1">
      <c r="A26" s="27"/>
      <c r="B26" s="51" t="s">
        <v>16</v>
      </c>
      <c r="C26" s="52" t="s">
        <v>17</v>
      </c>
      <c r="D26" s="53" t="s">
        <v>15</v>
      </c>
      <c r="E26" s="35"/>
    </row>
    <row r="27" spans="1:5" ht="36.75" customHeight="1">
      <c r="A27" s="27"/>
      <c r="B27" s="51" t="s">
        <v>18</v>
      </c>
      <c r="C27" s="52" t="s">
        <v>19</v>
      </c>
      <c r="D27" s="53" t="s">
        <v>15</v>
      </c>
      <c r="E27" s="35"/>
    </row>
    <row r="28" spans="1:5" ht="171.95">
      <c r="A28" s="43"/>
      <c r="B28" s="51" t="s">
        <v>20</v>
      </c>
      <c r="C28" s="329" t="s">
        <v>21</v>
      </c>
      <c r="D28" s="329" t="s">
        <v>22</v>
      </c>
      <c r="E28" s="35"/>
    </row>
    <row r="29" spans="1:5" ht="78.2" hidden="1" outlineLevel="1">
      <c r="A29" s="43"/>
      <c r="B29" s="357" t="s">
        <v>23</v>
      </c>
      <c r="C29" s="52" t="s">
        <v>24</v>
      </c>
      <c r="D29" s="52" t="s">
        <v>25</v>
      </c>
      <c r="E29" s="35"/>
    </row>
    <row r="30" spans="1:5" ht="93.75" hidden="1" outlineLevel="1">
      <c r="A30" s="43"/>
      <c r="B30" s="357" t="s">
        <v>26</v>
      </c>
      <c r="C30" s="52" t="s">
        <v>27</v>
      </c>
      <c r="D30" s="52" t="s">
        <v>28</v>
      </c>
      <c r="E30" s="35"/>
    </row>
    <row r="31" spans="1:5" ht="93.75" hidden="1" outlineLevel="1">
      <c r="A31" s="43"/>
      <c r="B31" s="357" t="s">
        <v>29</v>
      </c>
      <c r="C31" s="52" t="s">
        <v>30</v>
      </c>
      <c r="D31" s="52" t="s">
        <v>31</v>
      </c>
      <c r="E31" s="35"/>
    </row>
    <row r="32" spans="1:5" ht="109.35" hidden="1" outlineLevel="1">
      <c r="A32" s="43"/>
      <c r="B32" s="358" t="s">
        <v>32</v>
      </c>
      <c r="C32" s="52" t="s">
        <v>33</v>
      </c>
      <c r="D32" s="52" t="s">
        <v>34</v>
      </c>
      <c r="E32" s="27"/>
    </row>
    <row r="33" spans="1:5" ht="78.2" hidden="1" outlineLevel="1">
      <c r="A33" s="43"/>
      <c r="B33" s="357" t="s">
        <v>35</v>
      </c>
      <c r="C33" s="52" t="s">
        <v>36</v>
      </c>
      <c r="D33" s="52" t="s">
        <v>37</v>
      </c>
      <c r="E33" s="27"/>
    </row>
    <row r="34" spans="1:5" ht="109.35" hidden="1" outlineLevel="1">
      <c r="A34" s="43"/>
      <c r="B34" s="357" t="s">
        <v>38</v>
      </c>
      <c r="C34" s="52" t="s">
        <v>39</v>
      </c>
      <c r="D34" s="52" t="s">
        <v>40</v>
      </c>
      <c r="E34" s="27"/>
    </row>
    <row r="35" spans="1:5" ht="78.2" hidden="1" outlineLevel="1">
      <c r="A35" s="43"/>
      <c r="B35" s="357" t="s">
        <v>41</v>
      </c>
      <c r="C35" s="52" t="s">
        <v>42</v>
      </c>
      <c r="D35" s="52" t="s">
        <v>43</v>
      </c>
      <c r="E35" s="27"/>
    </row>
    <row r="36" spans="1:5" ht="78.2" hidden="1" outlineLevel="1">
      <c r="A36" s="43"/>
      <c r="B36" s="357" t="s">
        <v>44</v>
      </c>
      <c r="C36" s="52" t="s">
        <v>45</v>
      </c>
      <c r="D36" s="52" t="s">
        <v>43</v>
      </c>
      <c r="E36" s="27"/>
    </row>
    <row r="37" spans="1:5" ht="125.1" hidden="1" outlineLevel="1">
      <c r="A37" s="43"/>
      <c r="B37" s="358" t="s">
        <v>46</v>
      </c>
      <c r="C37" s="52" t="s">
        <v>47</v>
      </c>
      <c r="D37" s="52" t="s">
        <v>48</v>
      </c>
      <c r="E37" s="27"/>
    </row>
    <row r="38" spans="1:5" ht="93.75" hidden="1" outlineLevel="1">
      <c r="A38" s="43"/>
      <c r="B38" s="357" t="s">
        <v>49</v>
      </c>
      <c r="C38" s="52" t="s">
        <v>50</v>
      </c>
      <c r="D38" s="52" t="s">
        <v>51</v>
      </c>
      <c r="E38" s="27"/>
    </row>
    <row r="39" spans="1:5" ht="93.75" hidden="1" outlineLevel="1">
      <c r="A39" s="43"/>
      <c r="B39" s="357" t="s">
        <v>52</v>
      </c>
      <c r="C39" s="52" t="s">
        <v>53</v>
      </c>
      <c r="D39" s="52" t="s">
        <v>51</v>
      </c>
      <c r="E39" s="27"/>
    </row>
    <row r="40" spans="1:5" ht="93.75" hidden="1" outlineLevel="1">
      <c r="A40" s="43"/>
      <c r="B40" s="357" t="s">
        <v>54</v>
      </c>
      <c r="C40" s="52" t="s">
        <v>55</v>
      </c>
      <c r="D40" s="52" t="s">
        <v>56</v>
      </c>
      <c r="E40" s="27"/>
    </row>
    <row r="41" spans="1:5" ht="93.75" hidden="1" outlineLevel="1">
      <c r="A41" s="43"/>
      <c r="B41" s="358" t="s">
        <v>57</v>
      </c>
      <c r="C41" s="52" t="s">
        <v>58</v>
      </c>
      <c r="D41" s="52" t="s">
        <v>59</v>
      </c>
      <c r="E41" s="27"/>
    </row>
    <row r="42" spans="1:5" ht="109.35" hidden="1" outlineLevel="1">
      <c r="A42" s="43"/>
      <c r="B42" s="357" t="s">
        <v>60</v>
      </c>
      <c r="C42" s="52" t="s">
        <v>61</v>
      </c>
      <c r="D42" s="52" t="s">
        <v>62</v>
      </c>
      <c r="E42" s="27"/>
    </row>
    <row r="43" spans="1:5" ht="78.2" hidden="1" outlineLevel="1">
      <c r="A43" s="43"/>
      <c r="B43" s="357" t="s">
        <v>63</v>
      </c>
      <c r="C43" s="52" t="s">
        <v>64</v>
      </c>
      <c r="D43" s="52" t="s">
        <v>65</v>
      </c>
      <c r="E43" s="27"/>
    </row>
    <row r="44" spans="1:5" ht="78.2" hidden="1" outlineLevel="1">
      <c r="A44" s="43"/>
      <c r="B44" s="357" t="s">
        <v>66</v>
      </c>
      <c r="C44" s="52" t="s">
        <v>67</v>
      </c>
      <c r="D44" s="52" t="s">
        <v>68</v>
      </c>
      <c r="E44" s="27"/>
    </row>
    <row r="45" spans="1:5" ht="15.6" collapsed="1">
      <c r="A45" s="43"/>
      <c r="B45" s="394" t="s">
        <v>69</v>
      </c>
      <c r="C45" s="394"/>
      <c r="D45" s="394"/>
      <c r="E45" s="27"/>
    </row>
    <row r="46" spans="1:5" ht="16.350000000000001" thickBot="1">
      <c r="A46" s="27"/>
      <c r="B46" s="42"/>
      <c r="C46" s="44"/>
      <c r="D46" s="42"/>
      <c r="E46" s="42"/>
    </row>
    <row r="47" spans="1:5" ht="21.75" thickTop="1" thickBot="1">
      <c r="A47" s="31"/>
      <c r="B47" s="49" t="s">
        <v>70</v>
      </c>
      <c r="C47" s="32"/>
      <c r="D47" s="32"/>
      <c r="E47" s="37"/>
    </row>
    <row r="48" spans="1:5" ht="15" thickTop="1"/>
    <row r="49" spans="2:4" ht="47.25" customHeight="1">
      <c r="B49" s="56" t="s">
        <v>71</v>
      </c>
      <c r="C49" s="386" t="s">
        <v>72</v>
      </c>
      <c r="D49" s="387"/>
    </row>
    <row r="50" spans="2:4" ht="43.5" customHeight="1">
      <c r="B50" s="55" t="s">
        <v>73</v>
      </c>
      <c r="C50" s="386" t="s">
        <v>74</v>
      </c>
      <c r="D50" s="387"/>
    </row>
    <row r="51" spans="2:4" ht="43.5" customHeight="1">
      <c r="B51" s="176" t="s">
        <v>75</v>
      </c>
      <c r="C51" s="382" t="s">
        <v>76</v>
      </c>
      <c r="D51" s="383"/>
    </row>
    <row r="52" spans="2:4" ht="49.35" customHeight="1">
      <c r="B52" s="54" t="s">
        <v>77</v>
      </c>
      <c r="C52" s="386" t="s">
        <v>78</v>
      </c>
      <c r="D52" s="387"/>
    </row>
    <row r="53" spans="2:4" ht="42.4" customHeight="1">
      <c r="B53" s="211" t="s">
        <v>79</v>
      </c>
      <c r="C53" s="386" t="s">
        <v>80</v>
      </c>
      <c r="D53" s="387"/>
    </row>
    <row r="54" spans="2:4" ht="38.1" customHeight="1">
      <c r="B54" s="212" t="s">
        <v>81</v>
      </c>
      <c r="C54" s="386" t="s">
        <v>82</v>
      </c>
      <c r="D54" s="387"/>
    </row>
    <row r="55" spans="2:4" ht="42" customHeight="1">
      <c r="B55" s="213" t="s">
        <v>83</v>
      </c>
      <c r="C55" s="386" t="s">
        <v>84</v>
      </c>
      <c r="D55" s="387"/>
    </row>
    <row r="56" spans="2:4" ht="15.6">
      <c r="B56" s="328" t="s">
        <v>85</v>
      </c>
      <c r="C56" s="384" t="s">
        <v>86</v>
      </c>
      <c r="D56" s="385"/>
    </row>
  </sheetData>
  <mergeCells count="13">
    <mergeCell ref="C49:D49"/>
    <mergeCell ref="C52:D52"/>
    <mergeCell ref="B21:D21"/>
    <mergeCell ref="B3:D3"/>
    <mergeCell ref="B4:D4"/>
    <mergeCell ref="B12:D12"/>
    <mergeCell ref="B16:D16"/>
    <mergeCell ref="B45:D45"/>
    <mergeCell ref="C56:D56"/>
    <mergeCell ref="C53:D53"/>
    <mergeCell ref="C54:D54"/>
    <mergeCell ref="C55:D55"/>
    <mergeCell ref="C50:D5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BFB45-B02C-4483-AAC1-A4964A6D3353}">
  <sheetPr>
    <tabColor theme="0"/>
  </sheetPr>
  <dimension ref="A1:AM175"/>
  <sheetViews>
    <sheetView workbookViewId="0">
      <pane xSplit="3" ySplit="1" topLeftCell="L2" activePane="bottomRight" state="frozen"/>
      <selection pane="bottomRight" activeCell="L1" sqref="L1"/>
      <selection pane="bottomLeft" activeCell="A2" sqref="A2"/>
      <selection pane="topRight" activeCell="D1" sqref="D1"/>
    </sheetView>
  </sheetViews>
  <sheetFormatPr defaultColWidth="10.85546875" defaultRowHeight="12.95" outlineLevelCol="1"/>
  <cols>
    <col min="1" max="1" width="7.42578125" style="1" customWidth="1"/>
    <col min="2" max="2" width="15.42578125" style="1" customWidth="1"/>
    <col min="3" max="3" width="12.140625" style="1" customWidth="1"/>
    <col min="4" max="4" width="14.42578125" style="1" hidden="1" customWidth="1" outlineLevel="1"/>
    <col min="5" max="5" width="25.42578125" style="62" customWidth="1" collapsed="1"/>
    <col min="6" max="6" width="25.42578125" style="62" customWidth="1"/>
    <col min="7" max="7" width="25.42578125" style="62" hidden="1" customWidth="1" outlineLevel="1"/>
    <col min="8" max="8" width="25.42578125" style="62" customWidth="1" collapsed="1"/>
    <col min="9" max="9" width="25.42578125" style="62" customWidth="1"/>
    <col min="10" max="10" width="19.140625" style="1" hidden="1" customWidth="1" outlineLevel="1"/>
    <col min="11" max="11" width="21.42578125" style="1" customWidth="1" collapsed="1"/>
    <col min="12" max="12" width="21.42578125" style="1" customWidth="1"/>
    <col min="13" max="13" width="21.42578125" style="1" hidden="1" customWidth="1" outlineLevel="1"/>
    <col min="14" max="14" width="34" style="4" customWidth="1" collapsed="1"/>
    <col min="15" max="15" width="12.140625" style="1" hidden="1" customWidth="1" outlineLevel="1"/>
    <col min="16" max="16" width="16.42578125" style="1" customWidth="1" collapsed="1"/>
    <col min="17" max="17" width="19.140625" style="4" customWidth="1"/>
    <col min="18" max="39" width="10.85546875" style="4"/>
    <col min="40" max="16384" width="10.85546875" style="1"/>
  </cols>
  <sheetData>
    <row r="1" spans="1:17" ht="42.95" customHeight="1">
      <c r="A1" s="5" t="s">
        <v>278</v>
      </c>
      <c r="B1" s="6" t="s">
        <v>279</v>
      </c>
      <c r="C1" s="6" t="s">
        <v>280</v>
      </c>
      <c r="D1" s="6" t="s">
        <v>282</v>
      </c>
      <c r="E1" s="109" t="s">
        <v>164</v>
      </c>
      <c r="F1" s="109" t="s">
        <v>634</v>
      </c>
      <c r="G1" s="109" t="s">
        <v>282</v>
      </c>
      <c r="H1" s="109" t="s">
        <v>165</v>
      </c>
      <c r="I1" s="109" t="s">
        <v>635</v>
      </c>
      <c r="J1" s="7" t="s">
        <v>282</v>
      </c>
      <c r="K1" s="7" t="s">
        <v>173</v>
      </c>
      <c r="L1" s="7" t="s">
        <v>636</v>
      </c>
      <c r="M1" s="7" t="s">
        <v>282</v>
      </c>
      <c r="N1" s="18" t="s">
        <v>174</v>
      </c>
      <c r="O1" s="6" t="s">
        <v>282</v>
      </c>
      <c r="P1" s="7" t="s">
        <v>177</v>
      </c>
      <c r="Q1" s="261" t="s">
        <v>637</v>
      </c>
    </row>
    <row r="2" spans="1:17" ht="14.25">
      <c r="A2" s="9">
        <v>1</v>
      </c>
      <c r="B2" s="1" t="s">
        <v>304</v>
      </c>
      <c r="C2" s="1" t="s">
        <v>305</v>
      </c>
      <c r="D2" s="65" t="s">
        <v>638</v>
      </c>
      <c r="E2" s="72">
        <v>0.61599999999999999</v>
      </c>
      <c r="F2" s="226">
        <f>E2*Demographics!H2</f>
        <v>3177142.5839999998</v>
      </c>
      <c r="G2" s="119" t="s">
        <v>313</v>
      </c>
      <c r="H2" s="108">
        <v>0.85610906506428908</v>
      </c>
      <c r="I2" s="291">
        <f>H2*Demographics!H2</f>
        <v>4415552.8687730189</v>
      </c>
      <c r="J2" s="119" t="s">
        <v>313</v>
      </c>
      <c r="K2" s="108">
        <v>0.64468864468864495</v>
      </c>
      <c r="L2" s="291">
        <f>K2*Demographics!H2</f>
        <v>3325109.9780219793</v>
      </c>
      <c r="M2" s="119" t="s">
        <v>313</v>
      </c>
      <c r="N2" s="131">
        <v>0.96022727272727304</v>
      </c>
      <c r="O2" s="65" t="s">
        <v>639</v>
      </c>
      <c r="P2" s="293">
        <v>0.115</v>
      </c>
      <c r="Q2" s="294">
        <f>P2*Demographics!H2</f>
        <v>593135.38500000001</v>
      </c>
    </row>
    <row r="3" spans="1:17" ht="14.25">
      <c r="A3" s="9">
        <v>2</v>
      </c>
      <c r="B3" s="1" t="s">
        <v>314</v>
      </c>
      <c r="C3" s="1" t="s">
        <v>315</v>
      </c>
      <c r="D3" s="65" t="s">
        <v>638</v>
      </c>
      <c r="E3" s="72">
        <v>0.54900000000000004</v>
      </c>
      <c r="F3" s="291">
        <f>E3*Demographics!H3</f>
        <v>406333.01700000005</v>
      </c>
      <c r="G3" s="119" t="s">
        <v>313</v>
      </c>
      <c r="H3" s="108">
        <v>0.84275392658915471</v>
      </c>
      <c r="I3" s="291">
        <f>H3*Demographics!H3</f>
        <v>623749.99194821087</v>
      </c>
      <c r="J3" s="119" t="s">
        <v>313</v>
      </c>
      <c r="K3" s="108">
        <v>0.64766839378238295</v>
      </c>
      <c r="L3" s="291">
        <f>K3*Demographics!H3</f>
        <v>479360.75129533646</v>
      </c>
      <c r="M3" s="119" t="s">
        <v>313</v>
      </c>
      <c r="N3" s="131">
        <v>0.92800000000000005</v>
      </c>
      <c r="O3" s="292" t="s">
        <v>639</v>
      </c>
      <c r="P3" s="293">
        <v>0.10400000000000001</v>
      </c>
      <c r="Q3" s="294">
        <f>P3*Demographics!H3</f>
        <v>76973.832000000009</v>
      </c>
    </row>
    <row r="4" spans="1:17" ht="14.25">
      <c r="A4" s="9">
        <v>3</v>
      </c>
      <c r="B4" s="1" t="s">
        <v>321</v>
      </c>
      <c r="C4" s="1" t="s">
        <v>322</v>
      </c>
      <c r="D4" s="65" t="s">
        <v>638</v>
      </c>
      <c r="E4" s="72">
        <v>0.52800000000000002</v>
      </c>
      <c r="F4" s="291">
        <f>E4*Demographics!H4</f>
        <v>4003498.7520000003</v>
      </c>
      <c r="G4" s="119" t="s">
        <v>313</v>
      </c>
      <c r="H4" s="108">
        <v>0.81208561384772904</v>
      </c>
      <c r="I4" s="291">
        <f>H4*Demographics!H4</f>
        <v>6157544.965069199</v>
      </c>
      <c r="J4" s="119" t="s">
        <v>313</v>
      </c>
      <c r="K4" s="108">
        <v>0.51869158878504695</v>
      </c>
      <c r="L4" s="291">
        <f>K4*Demographics!H4</f>
        <v>3932918.8037383193</v>
      </c>
      <c r="M4" s="119" t="s">
        <v>313</v>
      </c>
      <c r="N4" s="131">
        <v>0.90990990990991005</v>
      </c>
      <c r="O4" s="292" t="s">
        <v>639</v>
      </c>
      <c r="P4" s="293">
        <v>0.11800000000000001</v>
      </c>
      <c r="Q4" s="294">
        <f>P4*Demographics!H4</f>
        <v>894721.31200000003</v>
      </c>
    </row>
    <row r="5" spans="1:17" ht="14.25">
      <c r="A5" s="9">
        <v>4</v>
      </c>
      <c r="B5" s="1" t="s">
        <v>327</v>
      </c>
      <c r="C5" s="1" t="s">
        <v>328</v>
      </c>
      <c r="D5" s="65" t="s">
        <v>638</v>
      </c>
      <c r="E5" s="72">
        <v>0.61799999999999999</v>
      </c>
      <c r="F5" s="291">
        <f>E5*Demographics!H5</f>
        <v>1908602.7719999999</v>
      </c>
      <c r="G5" s="119" t="s">
        <v>313</v>
      </c>
      <c r="H5" s="108">
        <v>0.85045533227967152</v>
      </c>
      <c r="I5" s="291">
        <f>H5*Demographics!H5</f>
        <v>2626507.1272672527</v>
      </c>
      <c r="J5" s="119" t="s">
        <v>313</v>
      </c>
      <c r="K5" s="108">
        <v>0.662207357859532</v>
      </c>
      <c r="L5" s="291">
        <f>K5*Demographics!H5</f>
        <v>2045130.7424749171</v>
      </c>
      <c r="M5" s="119" t="s">
        <v>313</v>
      </c>
      <c r="N5" s="131">
        <v>0.96969696969696995</v>
      </c>
      <c r="O5" s="292" t="s">
        <v>639</v>
      </c>
      <c r="P5" s="293">
        <v>0.18899999999999997</v>
      </c>
      <c r="Q5" s="294">
        <f>P5*Demographics!H5</f>
        <v>583698.90599999996</v>
      </c>
    </row>
    <row r="6" spans="1:17" ht="14.25">
      <c r="A6" s="9">
        <v>5</v>
      </c>
      <c r="B6" s="1" t="s">
        <v>332</v>
      </c>
      <c r="C6" s="1" t="s">
        <v>333</v>
      </c>
      <c r="D6" s="65" t="s">
        <v>638</v>
      </c>
      <c r="E6" s="72">
        <v>0.498</v>
      </c>
      <c r="F6" s="291">
        <f>E6*Demographics!H6</f>
        <v>19636768.973999999</v>
      </c>
      <c r="G6" s="119" t="s">
        <v>313</v>
      </c>
      <c r="H6" s="108">
        <v>0.83103951386068675</v>
      </c>
      <c r="I6" s="291">
        <f>H6*Demographics!H6</f>
        <v>32768937.634432886</v>
      </c>
      <c r="J6" s="119" t="s">
        <v>313</v>
      </c>
      <c r="K6" s="108">
        <v>0.46578366445916097</v>
      </c>
      <c r="L6" s="291">
        <f>K6*Demographics!H6</f>
        <v>18366438.174392927</v>
      </c>
      <c r="M6" s="119" t="s">
        <v>313</v>
      </c>
      <c r="N6" s="131">
        <v>0.91943127962085303</v>
      </c>
      <c r="O6" s="292" t="s">
        <v>639</v>
      </c>
      <c r="P6" s="293">
        <v>0.114</v>
      </c>
      <c r="Q6" s="294">
        <f>P6*Demographics!H6</f>
        <v>4495163.9819999998</v>
      </c>
    </row>
    <row r="7" spans="1:17" ht="14.25">
      <c r="A7" s="9">
        <v>6</v>
      </c>
      <c r="B7" s="1" t="s">
        <v>337</v>
      </c>
      <c r="C7" s="1" t="s">
        <v>338</v>
      </c>
      <c r="D7" s="65" t="s">
        <v>638</v>
      </c>
      <c r="E7" s="72">
        <v>0.51800000000000002</v>
      </c>
      <c r="F7" s="291">
        <f>E7*Demographics!H7</f>
        <v>3085981.3740000003</v>
      </c>
      <c r="G7" s="119" t="s">
        <v>313</v>
      </c>
      <c r="H7" s="108">
        <v>0.8864175530842201</v>
      </c>
      <c r="I7" s="291">
        <f>H7*Demographics!H7</f>
        <v>5280826.36757637</v>
      </c>
      <c r="J7" s="119" t="s">
        <v>313</v>
      </c>
      <c r="K7" s="108">
        <v>0.52731092436974802</v>
      </c>
      <c r="L7" s="291">
        <f>K7*Demographics!H7</f>
        <v>3141451.1407563034</v>
      </c>
      <c r="M7" s="119" t="s">
        <v>313</v>
      </c>
      <c r="N7" s="131">
        <v>0.90039840637450197</v>
      </c>
      <c r="O7" s="292" t="s">
        <v>639</v>
      </c>
      <c r="P7" s="293">
        <v>9.9000000000000005E-2</v>
      </c>
      <c r="Q7" s="294">
        <f>P7*Demographics!H7</f>
        <v>589791.80700000003</v>
      </c>
    </row>
    <row r="8" spans="1:17" ht="14.25">
      <c r="A8" s="9">
        <v>7</v>
      </c>
      <c r="B8" s="1" t="s">
        <v>342</v>
      </c>
      <c r="C8" s="1" t="s">
        <v>343</v>
      </c>
      <c r="D8" s="65" t="s">
        <v>638</v>
      </c>
      <c r="E8" s="72">
        <v>0.51800000000000002</v>
      </c>
      <c r="F8" s="291">
        <f>E8*Demographics!H8</f>
        <v>1903685.7420000001</v>
      </c>
      <c r="G8" s="119" t="s">
        <v>313</v>
      </c>
      <c r="H8" s="108">
        <v>0.81788978794092082</v>
      </c>
      <c r="I8" s="291">
        <f>H8*Demographics!H8</f>
        <v>3005801.4050782518</v>
      </c>
      <c r="J8" s="119" t="s">
        <v>313</v>
      </c>
      <c r="K8" s="108">
        <v>0.52134146341463405</v>
      </c>
      <c r="L8" s="291">
        <f>K8*Demographics!H8</f>
        <v>1915965.8506097558</v>
      </c>
      <c r="M8" s="119" t="s">
        <v>313</v>
      </c>
      <c r="N8" s="131">
        <v>0.88304093567251496</v>
      </c>
      <c r="O8" s="292" t="s">
        <v>639</v>
      </c>
      <c r="P8" s="293">
        <v>0.10400000000000001</v>
      </c>
      <c r="Q8" s="294">
        <f>P8*Demographics!H8</f>
        <v>382207.17600000004</v>
      </c>
    </row>
    <row r="9" spans="1:17" ht="14.25">
      <c r="A9" s="9">
        <v>8</v>
      </c>
      <c r="B9" s="1" t="s">
        <v>348</v>
      </c>
      <c r="C9" s="1" t="s">
        <v>349</v>
      </c>
      <c r="D9" s="65" t="s">
        <v>638</v>
      </c>
      <c r="E9" s="72">
        <v>0.57299999999999995</v>
      </c>
      <c r="F9" s="291">
        <f>E9*Demographics!H9</f>
        <v>602748.44099999999</v>
      </c>
      <c r="G9" s="119" t="s">
        <v>313</v>
      </c>
      <c r="H9" s="108">
        <v>0.8120413342802566</v>
      </c>
      <c r="I9" s="291">
        <f>H9*Demographics!H9</f>
        <v>854200.08423208469</v>
      </c>
      <c r="J9" s="119" t="s">
        <v>313</v>
      </c>
      <c r="K9" s="108">
        <v>0.58730158730158699</v>
      </c>
      <c r="L9" s="291">
        <f>K9*Demographics!H9</f>
        <v>617792.52380952344</v>
      </c>
      <c r="M9" s="119" t="s">
        <v>313</v>
      </c>
      <c r="N9" s="131">
        <v>0.891891891891892</v>
      </c>
      <c r="O9" s="292" t="s">
        <v>639</v>
      </c>
      <c r="P9" s="293">
        <v>0.113</v>
      </c>
      <c r="Q9" s="294">
        <f>P9*Demographics!H9</f>
        <v>118866.621</v>
      </c>
    </row>
    <row r="10" spans="1:17" ht="14.25">
      <c r="A10" s="9">
        <v>9</v>
      </c>
      <c r="B10" s="1" t="s">
        <v>353</v>
      </c>
      <c r="C10" s="1" t="s">
        <v>354</v>
      </c>
      <c r="D10" s="65" t="s">
        <v>638</v>
      </c>
      <c r="E10" s="72">
        <v>0.51</v>
      </c>
      <c r="F10" s="291">
        <f>E10*Demographics!H10</f>
        <v>11919829.65</v>
      </c>
      <c r="G10" s="119" t="s">
        <v>313</v>
      </c>
      <c r="H10" s="108">
        <v>0.82333101874813919</v>
      </c>
      <c r="I10" s="291">
        <f>H10*Demographics!H10</f>
        <v>19243069.586350542</v>
      </c>
      <c r="J10" s="119" t="s">
        <v>313</v>
      </c>
      <c r="K10" s="108">
        <v>0.510830324909747</v>
      </c>
      <c r="L10" s="291">
        <f>K10*Demographics!H10</f>
        <v>11939236.182310462</v>
      </c>
      <c r="M10" s="119" t="s">
        <v>313</v>
      </c>
      <c r="N10" s="131">
        <v>0.91519434628975205</v>
      </c>
      <c r="O10" s="292" t="s">
        <v>639</v>
      </c>
      <c r="P10" s="293">
        <v>0.12</v>
      </c>
      <c r="Q10" s="294">
        <f>P10*Demographics!H10</f>
        <v>2804665.8</v>
      </c>
    </row>
    <row r="11" spans="1:17" ht="14.25">
      <c r="A11" s="9">
        <v>10</v>
      </c>
      <c r="B11" s="1" t="s">
        <v>358</v>
      </c>
      <c r="C11" s="1" t="s">
        <v>359</v>
      </c>
      <c r="D11" s="65" t="s">
        <v>638</v>
      </c>
      <c r="E11" s="72">
        <v>0.52400000000000002</v>
      </c>
      <c r="F11" s="291">
        <f>E11*Demographics!H11</f>
        <v>5858780.0720000006</v>
      </c>
      <c r="G11" s="119" t="s">
        <v>313</v>
      </c>
      <c r="H11" s="108">
        <v>0.85291483645358013</v>
      </c>
      <c r="I11" s="291">
        <f>H11*Demographics!H11</f>
        <v>9536336.7307774313</v>
      </c>
      <c r="J11" s="119" t="s">
        <v>313</v>
      </c>
      <c r="K11" s="108">
        <v>0.57441253263707603</v>
      </c>
      <c r="L11" s="291">
        <f>K11*Demographics!H11</f>
        <v>6422436.4490861651</v>
      </c>
      <c r="M11" s="119" t="s">
        <v>313</v>
      </c>
      <c r="N11" s="131">
        <v>0.94090909090909103</v>
      </c>
      <c r="O11" s="292" t="s">
        <v>639</v>
      </c>
      <c r="P11" s="293">
        <v>0.128</v>
      </c>
      <c r="Q11" s="294">
        <f>P11*Demographics!H11</f>
        <v>1431152.3840000001</v>
      </c>
    </row>
    <row r="12" spans="1:17" ht="14.25">
      <c r="A12" s="9">
        <v>11</v>
      </c>
      <c r="B12" s="1" t="s">
        <v>363</v>
      </c>
      <c r="C12" s="1" t="s">
        <v>364</v>
      </c>
      <c r="D12" s="65" t="s">
        <v>638</v>
      </c>
      <c r="E12" s="72">
        <v>0.49399999999999999</v>
      </c>
      <c r="F12" s="291">
        <f>E12*Demographics!H12</f>
        <v>714396.12399999995</v>
      </c>
      <c r="G12" s="119" t="s">
        <v>313</v>
      </c>
      <c r="H12" s="108">
        <v>0.77062164732594329</v>
      </c>
      <c r="I12" s="291">
        <f>H12*Demographics!H12</f>
        <v>1114431.4127938235</v>
      </c>
      <c r="J12" s="119" t="s">
        <v>313</v>
      </c>
      <c r="K12" s="108">
        <v>0.50168350168350195</v>
      </c>
      <c r="L12" s="291">
        <f>K12*Demographics!H12</f>
        <v>725507.58922558965</v>
      </c>
      <c r="M12" s="119" t="s">
        <v>313</v>
      </c>
      <c r="N12" s="131">
        <v>0.85906040268456396</v>
      </c>
      <c r="O12" s="292" t="s">
        <v>639</v>
      </c>
      <c r="P12" s="293">
        <v>9.6000000000000002E-2</v>
      </c>
      <c r="Q12" s="294">
        <f>P12*Demographics!H12</f>
        <v>138830.016</v>
      </c>
    </row>
    <row r="13" spans="1:17" ht="14.25">
      <c r="A13" s="9">
        <v>12</v>
      </c>
      <c r="B13" s="1" t="s">
        <v>368</v>
      </c>
      <c r="C13" s="1" t="s">
        <v>278</v>
      </c>
      <c r="D13" s="65" t="s">
        <v>638</v>
      </c>
      <c r="E13" s="72">
        <v>0.54500000000000004</v>
      </c>
      <c r="F13" s="291">
        <f>E13*Demographics!H13</f>
        <v>1090882.355</v>
      </c>
      <c r="G13" s="119" t="s">
        <v>313</v>
      </c>
      <c r="H13" s="108">
        <v>0.85352512375031186</v>
      </c>
      <c r="I13" s="291">
        <f>H13*Demographics!H13</f>
        <v>1708432.1046759754</v>
      </c>
      <c r="J13" s="119" t="s">
        <v>313</v>
      </c>
      <c r="K13" s="108">
        <v>0.52066115702479299</v>
      </c>
      <c r="L13" s="291">
        <f>K13*Demographics!H13</f>
        <v>1042165.2644628091</v>
      </c>
      <c r="M13" s="119" t="s">
        <v>313</v>
      </c>
      <c r="N13" s="131">
        <v>0.96825396825396803</v>
      </c>
      <c r="O13" s="292" t="s">
        <v>639</v>
      </c>
      <c r="P13" s="293">
        <v>0.113</v>
      </c>
      <c r="Q13" s="294">
        <f>P13*Demographics!H13</f>
        <v>226182.94700000001</v>
      </c>
    </row>
    <row r="14" spans="1:17" ht="14.25">
      <c r="A14" s="9">
        <v>13</v>
      </c>
      <c r="B14" s="1" t="s">
        <v>372</v>
      </c>
      <c r="C14" s="1" t="s">
        <v>373</v>
      </c>
      <c r="D14" s="65" t="s">
        <v>638</v>
      </c>
      <c r="E14" s="72">
        <v>0.52400000000000002</v>
      </c>
      <c r="F14" s="291">
        <f>E14*Demographics!H14</f>
        <v>6660122.7920000004</v>
      </c>
      <c r="G14" s="119" t="s">
        <v>313</v>
      </c>
      <c r="H14" s="108">
        <v>0.85313984756258388</v>
      </c>
      <c r="I14" s="291">
        <f>H14*Demographics!H14</f>
        <v>10843542.258616356</v>
      </c>
      <c r="J14" s="119" t="s">
        <v>313</v>
      </c>
      <c r="K14" s="108">
        <v>0.474387527839644</v>
      </c>
      <c r="L14" s="291">
        <f>K14*Demographics!H14</f>
        <v>6029540.4320712741</v>
      </c>
      <c r="M14" s="119" t="s">
        <v>313</v>
      </c>
      <c r="N14" s="131">
        <v>0.931924882629108</v>
      </c>
      <c r="O14" s="292" t="s">
        <v>639</v>
      </c>
      <c r="P14" s="293">
        <v>0.124</v>
      </c>
      <c r="Q14" s="294">
        <f>P14*Demographics!H14</f>
        <v>1576059.5919999999</v>
      </c>
    </row>
    <row r="15" spans="1:17" ht="14.25">
      <c r="A15" s="9">
        <v>14</v>
      </c>
      <c r="B15" s="1" t="s">
        <v>378</v>
      </c>
      <c r="C15" s="1" t="s">
        <v>379</v>
      </c>
      <c r="D15" s="65" t="s">
        <v>638</v>
      </c>
      <c r="E15" s="72">
        <v>0.59</v>
      </c>
      <c r="F15" s="291">
        <f>E15*Demographics!H15</f>
        <v>4085322.25</v>
      </c>
      <c r="G15" s="119" t="s">
        <v>313</v>
      </c>
      <c r="H15" s="108">
        <v>0.87692221349197452</v>
      </c>
      <c r="I15" s="291">
        <f>H15*Demographics!H15</f>
        <v>6072050.5598271415</v>
      </c>
      <c r="J15" s="119" t="s">
        <v>313</v>
      </c>
      <c r="K15" s="108">
        <v>0.60431654676258995</v>
      </c>
      <c r="L15" s="291">
        <f>K15*Demographics!H15</f>
        <v>4184453.9568345323</v>
      </c>
      <c r="M15" s="119" t="s">
        <v>313</v>
      </c>
      <c r="N15" s="131">
        <v>0.95</v>
      </c>
      <c r="O15" s="292" t="s">
        <v>639</v>
      </c>
      <c r="P15" s="293">
        <v>0.122</v>
      </c>
      <c r="Q15" s="294">
        <f>P15*Demographics!H15</f>
        <v>844761.54999999993</v>
      </c>
    </row>
    <row r="16" spans="1:17" ht="14.25">
      <c r="A16" s="9">
        <v>15</v>
      </c>
      <c r="B16" s="1" t="s">
        <v>383</v>
      </c>
      <c r="C16" s="1" t="s">
        <v>384</v>
      </c>
      <c r="D16" s="65" t="s">
        <v>638</v>
      </c>
      <c r="E16" s="72">
        <v>0.54200000000000004</v>
      </c>
      <c r="F16" s="291">
        <f>E16*Demographics!H16</f>
        <v>1756886.496</v>
      </c>
      <c r="G16" s="119" t="s">
        <v>313</v>
      </c>
      <c r="H16" s="108">
        <v>0.86372187251284316</v>
      </c>
      <c r="I16" s="291">
        <f>H16*Demographics!H16</f>
        <v>2799744.0850879108</v>
      </c>
      <c r="J16" s="119" t="s">
        <v>313</v>
      </c>
      <c r="K16" s="108">
        <v>0.55364806866952798</v>
      </c>
      <c r="L16" s="291">
        <f>K16*Demographics!H16</f>
        <v>1794643.570815451</v>
      </c>
      <c r="M16" s="119" t="s">
        <v>313</v>
      </c>
      <c r="N16" s="131">
        <v>0.93798449612403101</v>
      </c>
      <c r="O16" s="292" t="s">
        <v>639</v>
      </c>
      <c r="P16" s="293">
        <v>9.8000000000000004E-2</v>
      </c>
      <c r="Q16" s="294">
        <f>P16*Demographics!H16</f>
        <v>317665.82400000002</v>
      </c>
    </row>
    <row r="17" spans="1:17" ht="14.25">
      <c r="A17" s="9">
        <v>16</v>
      </c>
      <c r="B17" s="1" t="s">
        <v>388</v>
      </c>
      <c r="C17" s="1" t="s">
        <v>389</v>
      </c>
      <c r="D17" s="65" t="s">
        <v>638</v>
      </c>
      <c r="E17" s="72">
        <v>0.56499999999999995</v>
      </c>
      <c r="F17" s="291">
        <f>E17*Demographics!H17</f>
        <v>1678392.39</v>
      </c>
      <c r="G17" s="119" t="s">
        <v>313</v>
      </c>
      <c r="H17" s="108">
        <v>0.89145959164560185</v>
      </c>
      <c r="I17" s="291">
        <f>H17*Demographics!H17</f>
        <v>2648175.2116999747</v>
      </c>
      <c r="J17" s="119" t="s">
        <v>313</v>
      </c>
      <c r="K17" s="108">
        <v>0.63559322033898302</v>
      </c>
      <c r="L17" s="291">
        <f>K17*Demographics!H17</f>
        <v>1888097.0338983049</v>
      </c>
      <c r="M17" s="119" t="s">
        <v>313</v>
      </c>
      <c r="N17" s="131">
        <v>0.94666666666666699</v>
      </c>
      <c r="O17" s="292" t="s">
        <v>639</v>
      </c>
      <c r="P17" s="293">
        <v>0.106</v>
      </c>
      <c r="Q17" s="294">
        <f>P17*Demographics!H17</f>
        <v>314884.23599999998</v>
      </c>
    </row>
    <row r="18" spans="1:17" ht="14.25">
      <c r="A18" s="9">
        <v>17</v>
      </c>
      <c r="B18" s="1" t="s">
        <v>393</v>
      </c>
      <c r="C18" s="1" t="s">
        <v>394</v>
      </c>
      <c r="D18" s="258"/>
      <c r="E18" s="330">
        <f>E49</f>
        <v>0.69599999999999995</v>
      </c>
      <c r="F18" s="331">
        <f>E18*Demographics!H18</f>
        <v>3193506.912</v>
      </c>
      <c r="G18" s="332"/>
      <c r="H18" s="330">
        <f>H49</f>
        <v>0.91444710675880614</v>
      </c>
      <c r="I18" s="331">
        <f>H18*Demographics!H18</f>
        <v>4195823.5001331167</v>
      </c>
      <c r="J18" s="332" t="s">
        <v>313</v>
      </c>
      <c r="K18" s="333">
        <v>0.77319587628866004</v>
      </c>
      <c r="L18" s="331">
        <f>K18*Demographics!H18</f>
        <v>3547710.3092783517</v>
      </c>
      <c r="M18" s="332"/>
      <c r="N18" s="334">
        <v>0.96444444444444399</v>
      </c>
      <c r="O18" s="292" t="s">
        <v>639</v>
      </c>
      <c r="P18" s="293">
        <v>0.14499999999999999</v>
      </c>
      <c r="Q18" s="294">
        <f>P18*Demographics!H18</f>
        <v>665313.93999999994</v>
      </c>
    </row>
    <row r="19" spans="1:17" ht="14.25">
      <c r="A19" s="9">
        <v>18</v>
      </c>
      <c r="B19" s="1" t="s">
        <v>398</v>
      </c>
      <c r="C19" s="1" t="s">
        <v>399</v>
      </c>
      <c r="D19" s="65" t="s">
        <v>638</v>
      </c>
      <c r="E19" s="72">
        <v>0.625</v>
      </c>
      <c r="F19" s="291">
        <f>E19*Demographics!H19</f>
        <v>2873587.5</v>
      </c>
      <c r="G19" s="119" t="s">
        <v>313</v>
      </c>
      <c r="H19" s="108">
        <v>0.88522336769759524</v>
      </c>
      <c r="I19" s="291">
        <f>H19*Demographics!H19</f>
        <v>4070026.8865979416</v>
      </c>
      <c r="J19" s="119" t="s">
        <v>313</v>
      </c>
      <c r="K19" s="108">
        <v>0.6875</v>
      </c>
      <c r="L19" s="291">
        <f>K19*Demographics!H19</f>
        <v>3160946.25</v>
      </c>
      <c r="M19" s="119" t="s">
        <v>313</v>
      </c>
      <c r="N19" s="131">
        <v>0.946524064171123</v>
      </c>
      <c r="O19" s="292" t="s">
        <v>639</v>
      </c>
      <c r="P19" s="293">
        <v>0.16200000000000001</v>
      </c>
      <c r="Q19" s="294">
        <f>P19*Demographics!H19</f>
        <v>744833.88</v>
      </c>
    </row>
    <row r="20" spans="1:17" ht="14.25">
      <c r="A20" s="9">
        <v>19</v>
      </c>
      <c r="B20" s="1" t="s">
        <v>403</v>
      </c>
      <c r="C20" s="1" t="s">
        <v>404</v>
      </c>
      <c r="D20" s="65" t="s">
        <v>638</v>
      </c>
      <c r="E20" s="72">
        <v>0.61099999999999999</v>
      </c>
      <c r="F20" s="291">
        <f>E20*Demographics!H20</f>
        <v>858462.33199999994</v>
      </c>
      <c r="G20" s="119" t="s">
        <v>313</v>
      </c>
      <c r="H20" s="108">
        <v>0.93549650882222579</v>
      </c>
      <c r="I20" s="291">
        <f>H20*Demographics!H20</f>
        <v>1314383.820853333</v>
      </c>
      <c r="J20" s="119" t="s">
        <v>313</v>
      </c>
      <c r="K20" s="108">
        <v>0.75550122249388796</v>
      </c>
      <c r="L20" s="291">
        <f>K20*Demographics!H20</f>
        <v>1061488.2836185824</v>
      </c>
      <c r="M20" s="119" t="s">
        <v>313</v>
      </c>
      <c r="N20" s="131">
        <v>0.95145631067961201</v>
      </c>
      <c r="O20" s="292" t="s">
        <v>639</v>
      </c>
      <c r="P20" s="293">
        <v>0.109</v>
      </c>
      <c r="Q20" s="294">
        <f>P20*Demographics!H20</f>
        <v>153146.30799999999</v>
      </c>
    </row>
    <row r="21" spans="1:17" ht="14.25">
      <c r="A21" s="9">
        <v>20</v>
      </c>
      <c r="B21" s="1" t="s">
        <v>408</v>
      </c>
      <c r="C21" s="1" t="s">
        <v>409</v>
      </c>
      <c r="D21" s="65" t="s">
        <v>638</v>
      </c>
      <c r="E21" s="72">
        <v>0.55300000000000005</v>
      </c>
      <c r="F21" s="291">
        <f>E21*Demographics!H21</f>
        <v>3463560.66</v>
      </c>
      <c r="G21" s="119" t="s">
        <v>313</v>
      </c>
      <c r="H21" s="108">
        <v>0.82415840747236879</v>
      </c>
      <c r="I21" s="291">
        <f>H21*Demographics!H21</f>
        <v>5161885.4208490895</v>
      </c>
      <c r="J21" s="119" t="s">
        <v>313</v>
      </c>
      <c r="K21" s="108">
        <v>0.50655737704918002</v>
      </c>
      <c r="L21" s="291">
        <f>K21*Demographics!H21</f>
        <v>3172680.2950819652</v>
      </c>
      <c r="M21" s="119" t="s">
        <v>313</v>
      </c>
      <c r="N21" s="131">
        <v>0.95469255663430397</v>
      </c>
      <c r="O21" s="292" t="s">
        <v>639</v>
      </c>
      <c r="P21" s="293">
        <v>0.10400000000000001</v>
      </c>
      <c r="Q21" s="294">
        <f>P21*Demographics!H21</f>
        <v>651374.88</v>
      </c>
    </row>
    <row r="22" spans="1:17" ht="14.25">
      <c r="A22" s="9">
        <v>21</v>
      </c>
      <c r="B22" s="1" t="s">
        <v>413</v>
      </c>
      <c r="C22" s="1" t="s">
        <v>414</v>
      </c>
      <c r="D22" s="65" t="s">
        <v>638</v>
      </c>
      <c r="E22" s="72">
        <v>0.55000000000000004</v>
      </c>
      <c r="F22" s="291">
        <f>E22*Demographics!H22</f>
        <v>3924894.0500000003</v>
      </c>
      <c r="G22" s="119" t="s">
        <v>313</v>
      </c>
      <c r="H22" s="108">
        <v>0.79763351117215087</v>
      </c>
      <c r="I22" s="291">
        <f>H22*Demographics!H22</f>
        <v>5692049.1310548792</v>
      </c>
      <c r="J22" s="119" t="s">
        <v>313</v>
      </c>
      <c r="K22" s="108">
        <v>0.52266666666666695</v>
      </c>
      <c r="L22" s="291">
        <f>K22*Demographics!H22</f>
        <v>3729838.7093333355</v>
      </c>
      <c r="M22" s="119" t="s">
        <v>313</v>
      </c>
      <c r="N22" s="131">
        <v>0.90306122448979598</v>
      </c>
      <c r="O22" s="292" t="s">
        <v>639</v>
      </c>
      <c r="P22" s="293">
        <v>9.3000000000000013E-2</v>
      </c>
      <c r="Q22" s="294">
        <f>P22*Demographics!H22</f>
        <v>663663.90300000005</v>
      </c>
    </row>
    <row r="23" spans="1:17" ht="14.25">
      <c r="A23" s="9">
        <v>22</v>
      </c>
      <c r="B23" s="1" t="s">
        <v>418</v>
      </c>
      <c r="C23" s="1" t="s">
        <v>419</v>
      </c>
      <c r="D23" s="65" t="s">
        <v>638</v>
      </c>
      <c r="E23" s="72">
        <v>0.60299999999999998</v>
      </c>
      <c r="F23" s="291">
        <f>E23*Demographics!H23</f>
        <v>6114696.7769999998</v>
      </c>
      <c r="G23" s="119" t="s">
        <v>313</v>
      </c>
      <c r="H23" s="108">
        <v>0.91433149305978945</v>
      </c>
      <c r="I23" s="291">
        <f>H23*Demographics!H23</f>
        <v>9271741.0177815799</v>
      </c>
      <c r="J23" s="119" t="s">
        <v>313</v>
      </c>
      <c r="K23" s="108">
        <v>0.664621676891616</v>
      </c>
      <c r="L23" s="291">
        <f>K23*Demographics!H23</f>
        <v>6739568.8650306799</v>
      </c>
      <c r="M23" s="119" t="s">
        <v>313</v>
      </c>
      <c r="N23" s="131">
        <v>0.95384615384615401</v>
      </c>
      <c r="O23" s="292" t="s">
        <v>639</v>
      </c>
      <c r="P23" s="293">
        <v>0.13</v>
      </c>
      <c r="Q23" s="294">
        <f>P23*Demographics!H23</f>
        <v>1318259.6700000002</v>
      </c>
    </row>
    <row r="24" spans="1:17" ht="14.25">
      <c r="A24" s="9">
        <v>23</v>
      </c>
      <c r="B24" s="1" t="s">
        <v>424</v>
      </c>
      <c r="C24" s="1" t="s">
        <v>425</v>
      </c>
      <c r="D24" s="65" t="s">
        <v>638</v>
      </c>
      <c r="E24" s="72">
        <v>0.54700000000000004</v>
      </c>
      <c r="F24" s="291">
        <f>E24*Demographics!H24</f>
        <v>3168853.5970000001</v>
      </c>
      <c r="G24" s="119" t="s">
        <v>313</v>
      </c>
      <c r="H24" s="108">
        <v>0.910162868628415</v>
      </c>
      <c r="I24" s="291">
        <f>H24*Demographics!H24</f>
        <v>5272710.9325575707</v>
      </c>
      <c r="J24" s="119" t="s">
        <v>313</v>
      </c>
      <c r="K24" s="108">
        <v>0.53996447602131403</v>
      </c>
      <c r="L24" s="291">
        <f>K24*Demographics!H24</f>
        <v>3128095.7442273516</v>
      </c>
      <c r="M24" s="119" t="s">
        <v>313</v>
      </c>
      <c r="N24" s="131">
        <v>0.95065789473684204</v>
      </c>
      <c r="O24" s="292" t="s">
        <v>639</v>
      </c>
      <c r="P24" s="293">
        <v>9.0999999999999998E-2</v>
      </c>
      <c r="Q24" s="294">
        <f>P24*Demographics!H24</f>
        <v>527176.74100000004</v>
      </c>
    </row>
    <row r="25" spans="1:17" ht="14.25">
      <c r="A25" s="9">
        <v>24</v>
      </c>
      <c r="B25" s="1" t="s">
        <v>429</v>
      </c>
      <c r="C25" s="1" t="s">
        <v>430</v>
      </c>
      <c r="D25" s="65" t="s">
        <v>638</v>
      </c>
      <c r="E25" s="72">
        <v>0.59199999999999997</v>
      </c>
      <c r="F25" s="291">
        <f>E25*Demographics!H25</f>
        <v>1742282.64</v>
      </c>
      <c r="G25" s="119" t="s">
        <v>313</v>
      </c>
      <c r="H25" s="108">
        <v>0.75212073387255907</v>
      </c>
      <c r="I25" s="291">
        <f>H25*Demographics!H25</f>
        <v>2213525.1652199654</v>
      </c>
      <c r="J25" s="119" t="s">
        <v>313</v>
      </c>
      <c r="K25" s="108">
        <v>0.58870967741935498</v>
      </c>
      <c r="L25" s="291">
        <f>K25*Demographics!H25</f>
        <v>1732599.0725806456</v>
      </c>
      <c r="M25" s="119" t="s">
        <v>313</v>
      </c>
      <c r="N25" s="131">
        <v>0.965753424657534</v>
      </c>
      <c r="O25" s="292" t="s">
        <v>639</v>
      </c>
      <c r="P25" s="293">
        <v>0.16200000000000001</v>
      </c>
      <c r="Q25" s="294">
        <f>P25*Demographics!H25</f>
        <v>476773.29000000004</v>
      </c>
    </row>
    <row r="26" spans="1:17" ht="14.25">
      <c r="A26" s="9">
        <v>25</v>
      </c>
      <c r="B26" s="1" t="s">
        <v>434</v>
      </c>
      <c r="C26" s="1" t="s">
        <v>435</v>
      </c>
      <c r="D26" s="65" t="s">
        <v>638</v>
      </c>
      <c r="E26" s="72">
        <v>0.58499999999999996</v>
      </c>
      <c r="F26" s="291">
        <f>E26*Demographics!H26</f>
        <v>3653597.61</v>
      </c>
      <c r="G26" s="119" t="s">
        <v>313</v>
      </c>
      <c r="H26" s="108">
        <v>0.85644158963914541</v>
      </c>
      <c r="I26" s="291">
        <f>H26*Demographics!H26</f>
        <v>5348876.8290772345</v>
      </c>
      <c r="J26" s="119" t="s">
        <v>313</v>
      </c>
      <c r="K26" s="108">
        <v>0.62532981530343001</v>
      </c>
      <c r="L26" s="291">
        <f>K26*Demographics!H26</f>
        <v>3905476.1002638517</v>
      </c>
      <c r="M26" s="119" t="s">
        <v>313</v>
      </c>
      <c r="N26" s="131">
        <v>0.91983122362869196</v>
      </c>
      <c r="O26" s="292" t="s">
        <v>639</v>
      </c>
      <c r="P26" s="293">
        <v>0.127</v>
      </c>
      <c r="Q26" s="294">
        <f>P26*Demographics!H26</f>
        <v>793174.18200000003</v>
      </c>
    </row>
    <row r="27" spans="1:17" ht="14.25">
      <c r="A27" s="9">
        <v>26</v>
      </c>
      <c r="B27" s="1" t="s">
        <v>439</v>
      </c>
      <c r="C27" s="1" t="s">
        <v>440</v>
      </c>
      <c r="D27" s="65" t="s">
        <v>638</v>
      </c>
      <c r="E27" s="72">
        <v>0.57699999999999996</v>
      </c>
      <c r="F27" s="291">
        <f>E27*Demographics!H27</f>
        <v>656183.44099999999</v>
      </c>
      <c r="G27" s="119" t="s">
        <v>313</v>
      </c>
      <c r="H27" s="108">
        <v>0.89062199114192198</v>
      </c>
      <c r="I27" s="291">
        <f>H27*Demographics!H27</f>
        <v>1012844.7188523014</v>
      </c>
      <c r="J27" s="119" t="s">
        <v>313</v>
      </c>
      <c r="K27" s="108">
        <v>0.66532258064516103</v>
      </c>
      <c r="L27" s="291">
        <f>K27*Demographics!H27</f>
        <v>756626.79435483844</v>
      </c>
      <c r="M27" s="119" t="s">
        <v>313</v>
      </c>
      <c r="N27" s="131">
        <v>0.939393939393939</v>
      </c>
      <c r="O27" s="292" t="s">
        <v>639</v>
      </c>
      <c r="P27" s="293">
        <v>0.106</v>
      </c>
      <c r="Q27" s="294">
        <f>P27*Demographics!H27</f>
        <v>120546.69799999999</v>
      </c>
    </row>
    <row r="28" spans="1:17" ht="14.25">
      <c r="A28" s="9">
        <v>27</v>
      </c>
      <c r="B28" s="1" t="s">
        <v>444</v>
      </c>
      <c r="C28" s="1" t="s">
        <v>445</v>
      </c>
      <c r="D28" s="65" t="s">
        <v>638</v>
      </c>
      <c r="E28" s="72">
        <v>0.51500000000000001</v>
      </c>
      <c r="F28" s="291">
        <f>E28*Demographics!H28</f>
        <v>1032814.475</v>
      </c>
      <c r="G28" s="119" t="s">
        <v>313</v>
      </c>
      <c r="H28" s="108">
        <v>0.80732753777585431</v>
      </c>
      <c r="I28" s="291">
        <f>H28*Demographics!H28</f>
        <v>1619067.1205456536</v>
      </c>
      <c r="J28" s="119" t="s">
        <v>313</v>
      </c>
      <c r="K28" s="108">
        <v>0.466480446927374</v>
      </c>
      <c r="L28" s="291">
        <f>K28*Demographics!H28</f>
        <v>935510.20949720615</v>
      </c>
      <c r="M28" s="119" t="s">
        <v>313</v>
      </c>
      <c r="N28" s="131">
        <v>0.93113772455089805</v>
      </c>
      <c r="O28" s="292" t="s">
        <v>639</v>
      </c>
      <c r="P28" s="293">
        <v>0.129</v>
      </c>
      <c r="Q28" s="294">
        <f>P28*Demographics!H28</f>
        <v>258704.98500000002</v>
      </c>
    </row>
    <row r="29" spans="1:17" ht="14.25">
      <c r="A29" s="9">
        <v>28</v>
      </c>
      <c r="B29" s="1" t="s">
        <v>449</v>
      </c>
      <c r="C29" s="1" t="s">
        <v>450</v>
      </c>
      <c r="D29" s="65" t="s">
        <v>638</v>
      </c>
      <c r="E29" s="72">
        <v>0.57099999999999995</v>
      </c>
      <c r="F29" s="291">
        <f>E29*Demographics!H29</f>
        <v>1865723.6569999999</v>
      </c>
      <c r="G29" s="119" t="s">
        <v>313</v>
      </c>
      <c r="H29" s="108">
        <v>0.87000734421784065</v>
      </c>
      <c r="I29" s="291">
        <f>H29*Demographics!H29</f>
        <v>2842720.2869894351</v>
      </c>
      <c r="J29" s="119" t="s">
        <v>313</v>
      </c>
      <c r="K29" s="108">
        <v>0.592592592592593</v>
      </c>
      <c r="L29" s="291">
        <f>K29*Demographics!H29</f>
        <v>1936276.7407407421</v>
      </c>
      <c r="M29" s="119" t="s">
        <v>313</v>
      </c>
      <c r="N29" s="131">
        <v>0.96875</v>
      </c>
      <c r="O29" s="292" t="s">
        <v>639</v>
      </c>
      <c r="P29" s="293">
        <v>0.125</v>
      </c>
      <c r="Q29" s="294">
        <f>P29*Demographics!H29</f>
        <v>408433.375</v>
      </c>
    </row>
    <row r="30" spans="1:17" ht="14.25">
      <c r="A30" s="9">
        <v>29</v>
      </c>
      <c r="B30" s="1" t="s">
        <v>454</v>
      </c>
      <c r="C30" s="1" t="s">
        <v>455</v>
      </c>
      <c r="D30" s="65" t="s">
        <v>638</v>
      </c>
      <c r="E30" s="72">
        <v>0.58299999999999996</v>
      </c>
      <c r="F30" s="291">
        <f>E30*Demographics!H30</f>
        <v>821465.65599999996</v>
      </c>
      <c r="G30" s="119" t="s">
        <v>313</v>
      </c>
      <c r="H30" s="108">
        <v>0.86762200220901209</v>
      </c>
      <c r="I30" s="291">
        <f>H30*Demographics!H30</f>
        <v>1222507.1650165687</v>
      </c>
      <c r="J30" s="119" t="s">
        <v>313</v>
      </c>
      <c r="K30" s="108">
        <v>0.83333333333333304</v>
      </c>
      <c r="L30" s="291">
        <f>K30*Demographics!H30</f>
        <v>1174193.333333333</v>
      </c>
      <c r="M30" s="119" t="s">
        <v>313</v>
      </c>
      <c r="N30" s="131">
        <v>0.9</v>
      </c>
      <c r="O30" s="292" t="s">
        <v>639</v>
      </c>
      <c r="P30" s="293">
        <v>7.400000000000001E-2</v>
      </c>
      <c r="Q30" s="294">
        <f>P30*Demographics!H30</f>
        <v>104268.36800000002</v>
      </c>
    </row>
    <row r="31" spans="1:17" ht="14.25">
      <c r="A31" s="9">
        <v>30</v>
      </c>
      <c r="B31" s="1" t="s">
        <v>459</v>
      </c>
      <c r="C31" s="1" t="s">
        <v>460</v>
      </c>
      <c r="D31" s="65" t="s">
        <v>638</v>
      </c>
      <c r="E31" s="72">
        <v>0.48899999999999999</v>
      </c>
      <c r="F31" s="291">
        <f>E31*Demographics!H31</f>
        <v>4645916.1389999995</v>
      </c>
      <c r="G31" s="119" t="s">
        <v>313</v>
      </c>
      <c r="H31" s="108">
        <v>0.69430793936530677</v>
      </c>
      <c r="I31" s="291">
        <f>H31*Demographics!H31</f>
        <v>6596516.280026814</v>
      </c>
      <c r="J31" s="119" t="s">
        <v>313</v>
      </c>
      <c r="K31" s="108">
        <v>0.41010101010101002</v>
      </c>
      <c r="L31" s="291">
        <f>K31*Demographics!H31</f>
        <v>3896308.5919191912</v>
      </c>
      <c r="M31" s="119" t="s">
        <v>313</v>
      </c>
      <c r="N31" s="131">
        <v>0.89162561576354704</v>
      </c>
      <c r="O31" s="292" t="s">
        <v>639</v>
      </c>
      <c r="P31" s="293">
        <v>9.8000000000000004E-2</v>
      </c>
      <c r="Q31" s="294">
        <f>P31*Demographics!H31</f>
        <v>931083.39800000004</v>
      </c>
    </row>
    <row r="32" spans="1:17" ht="14.25">
      <c r="A32" s="9">
        <v>31</v>
      </c>
      <c r="B32" s="1" t="s">
        <v>464</v>
      </c>
      <c r="C32" s="1" t="s">
        <v>465</v>
      </c>
      <c r="D32" s="65" t="s">
        <v>638</v>
      </c>
      <c r="E32" s="72">
        <v>0.54800000000000004</v>
      </c>
      <c r="F32" s="291">
        <f>E32*Demographics!H32</f>
        <v>1167380.2880000002</v>
      </c>
      <c r="G32" s="119" t="s">
        <v>313</v>
      </c>
      <c r="H32" s="108">
        <v>0.82066747621398717</v>
      </c>
      <c r="I32" s="291">
        <f>H32*Demographics!H32</f>
        <v>1748231.8152097035</v>
      </c>
      <c r="J32" s="119" t="s">
        <v>313</v>
      </c>
      <c r="K32" s="108">
        <v>0.53658536585365901</v>
      </c>
      <c r="L32" s="291">
        <f>K32*Demographics!H32</f>
        <v>1143064.1951219523</v>
      </c>
      <c r="M32" s="119" t="s">
        <v>313</v>
      </c>
      <c r="N32" s="131">
        <v>0.9</v>
      </c>
      <c r="O32" s="292" t="s">
        <v>639</v>
      </c>
      <c r="P32" s="293">
        <v>0.129</v>
      </c>
      <c r="Q32" s="294">
        <f>P32*Demographics!H32</f>
        <v>274803.02400000003</v>
      </c>
    </row>
    <row r="33" spans="1:17" ht="14.25">
      <c r="A33" s="9">
        <v>32</v>
      </c>
      <c r="B33" s="1" t="s">
        <v>469</v>
      </c>
      <c r="C33" s="1" t="s">
        <v>470</v>
      </c>
      <c r="D33" s="65" t="s">
        <v>638</v>
      </c>
      <c r="E33" s="72">
        <v>0.501</v>
      </c>
      <c r="F33" s="291">
        <f>E33*Demographics!H33</f>
        <v>9953491.2479999997</v>
      </c>
      <c r="G33" s="119" t="s">
        <v>313</v>
      </c>
      <c r="H33" s="108">
        <v>0.83315666982923353</v>
      </c>
      <c r="I33" s="291">
        <f>H33*Demographics!H33</f>
        <v>16552530.1823515</v>
      </c>
      <c r="J33" s="119" t="s">
        <v>313</v>
      </c>
      <c r="K33" s="108">
        <v>0.49822204662188901</v>
      </c>
      <c r="L33" s="291">
        <f>K33*Demographics!H33</f>
        <v>9898300.9593046308</v>
      </c>
      <c r="M33" s="119" t="s">
        <v>313</v>
      </c>
      <c r="N33" s="131">
        <v>0.91593973037272003</v>
      </c>
      <c r="O33" s="292" t="s">
        <v>639</v>
      </c>
      <c r="P33" s="293">
        <v>0.12300000000000001</v>
      </c>
      <c r="Q33" s="294">
        <f>P33*Demographics!H33</f>
        <v>2443671.5040000002</v>
      </c>
    </row>
    <row r="34" spans="1:17" ht="14.25">
      <c r="A34" s="9">
        <v>33</v>
      </c>
      <c r="B34" s="1" t="s">
        <v>474</v>
      </c>
      <c r="C34" s="1" t="s">
        <v>475</v>
      </c>
      <c r="D34" s="65" t="s">
        <v>638</v>
      </c>
      <c r="E34" s="72">
        <v>0.57199999999999995</v>
      </c>
      <c r="F34" s="291">
        <f>E34*Demographics!H34</f>
        <v>6318325.7279999992</v>
      </c>
      <c r="G34" s="119" t="s">
        <v>313</v>
      </c>
      <c r="H34" s="108">
        <v>0.79312579312579379</v>
      </c>
      <c r="I34" s="291">
        <f>H34*Demographics!H34</f>
        <v>8760886.5458865538</v>
      </c>
      <c r="J34" s="119" t="s">
        <v>313</v>
      </c>
      <c r="K34" s="108">
        <v>0.55686274509803901</v>
      </c>
      <c r="L34" s="291">
        <f>K34*Demographics!H34</f>
        <v>6151119.2470588209</v>
      </c>
      <c r="M34" s="119" t="s">
        <v>313</v>
      </c>
      <c r="N34" s="131">
        <v>0.95070422535211296</v>
      </c>
      <c r="O34" s="292" t="s">
        <v>639</v>
      </c>
      <c r="P34" s="293">
        <v>0.109</v>
      </c>
      <c r="Q34" s="294">
        <f>P34*Demographics!H34</f>
        <v>1204016.6159999999</v>
      </c>
    </row>
    <row r="35" spans="1:17" ht="14.25">
      <c r="A35" s="9">
        <v>34</v>
      </c>
      <c r="B35" s="1" t="s">
        <v>479</v>
      </c>
      <c r="C35" s="1" t="s">
        <v>480</v>
      </c>
      <c r="D35" s="65" t="s">
        <v>638</v>
      </c>
      <c r="E35" s="72">
        <v>0.53800000000000003</v>
      </c>
      <c r="F35" s="291">
        <f>E35*Demographics!H35</f>
        <v>428553.58400000003</v>
      </c>
      <c r="G35" s="119" t="s">
        <v>313</v>
      </c>
      <c r="H35" s="108">
        <v>0.91435960193031407</v>
      </c>
      <c r="I35" s="291">
        <f>H35*Demographics!H35</f>
        <v>728349.59939042642</v>
      </c>
      <c r="J35" s="119" t="s">
        <v>313</v>
      </c>
      <c r="K35" s="108">
        <v>0.67346938775510201</v>
      </c>
      <c r="L35" s="291">
        <f>K35*Demographics!H35</f>
        <v>536464.16326530615</v>
      </c>
      <c r="M35" s="119" t="s">
        <v>313</v>
      </c>
      <c r="N35" s="131">
        <v>0.919191919191919</v>
      </c>
      <c r="O35" s="292" t="s">
        <v>639</v>
      </c>
      <c r="P35" s="293">
        <v>8.5999999999999993E-2</v>
      </c>
      <c r="Q35" s="294">
        <f>P35*Demographics!H35</f>
        <v>68504.847999999998</v>
      </c>
    </row>
    <row r="36" spans="1:17" ht="14.25">
      <c r="A36" s="9">
        <v>35</v>
      </c>
      <c r="B36" s="1" t="s">
        <v>484</v>
      </c>
      <c r="C36" s="1" t="s">
        <v>485</v>
      </c>
      <c r="D36" s="65" t="s">
        <v>638</v>
      </c>
      <c r="E36" s="72">
        <v>0.59899999999999998</v>
      </c>
      <c r="F36" s="291">
        <f>E36*Demographics!H36</f>
        <v>7118099.0959999999</v>
      </c>
      <c r="G36" s="119" t="s">
        <v>313</v>
      </c>
      <c r="H36" s="108">
        <v>0.92600535367465775</v>
      </c>
      <c r="I36" s="291">
        <f>H36*Demographics!H36</f>
        <v>11004003.123343475</v>
      </c>
      <c r="J36" s="119" t="s">
        <v>313</v>
      </c>
      <c r="K36" s="108">
        <v>0.721784776902887</v>
      </c>
      <c r="L36" s="291">
        <f>K36*Demographics!H36</f>
        <v>8577187.9265091848</v>
      </c>
      <c r="M36" s="119" t="s">
        <v>313</v>
      </c>
      <c r="N36" s="131">
        <v>0.93818181818181801</v>
      </c>
      <c r="O36" s="292" t="s">
        <v>639</v>
      </c>
      <c r="P36" s="293">
        <v>0.128</v>
      </c>
      <c r="Q36" s="294">
        <f>P36*Demographics!H36</f>
        <v>1521062.912</v>
      </c>
    </row>
    <row r="37" spans="1:17" ht="14.25">
      <c r="A37" s="9">
        <v>36</v>
      </c>
      <c r="B37" s="1" t="s">
        <v>141</v>
      </c>
      <c r="C37" s="1" t="s">
        <v>489</v>
      </c>
      <c r="D37" s="65" t="s">
        <v>638</v>
      </c>
      <c r="E37" s="72">
        <v>0.60099999999999998</v>
      </c>
      <c r="F37" s="291">
        <f>E37*Demographics!H37</f>
        <v>2461331.193</v>
      </c>
      <c r="G37" s="119" t="s">
        <v>313</v>
      </c>
      <c r="H37" s="108">
        <v>0.89837182357501844</v>
      </c>
      <c r="I37" s="291">
        <f>H37*Demographics!H37</f>
        <v>3679185.6776663656</v>
      </c>
      <c r="J37" s="119" t="s">
        <v>313</v>
      </c>
      <c r="K37" s="108">
        <v>0.62868369351669895</v>
      </c>
      <c r="L37" s="291">
        <f>K37*Demographics!H37</f>
        <v>2574706.7976424345</v>
      </c>
      <c r="M37" s="119" t="s">
        <v>313</v>
      </c>
      <c r="N37" s="131">
        <v>0.94062500000000004</v>
      </c>
      <c r="O37" s="292" t="s">
        <v>639</v>
      </c>
      <c r="P37" s="293">
        <v>0.154</v>
      </c>
      <c r="Q37" s="294">
        <f>P37*Demographics!H37</f>
        <v>630690.522</v>
      </c>
    </row>
    <row r="38" spans="1:17" ht="14.25">
      <c r="A38" s="9">
        <v>37</v>
      </c>
      <c r="B38" s="1" t="s">
        <v>493</v>
      </c>
      <c r="C38" s="1" t="s">
        <v>494</v>
      </c>
      <c r="D38" s="65" t="s">
        <v>638</v>
      </c>
      <c r="E38" s="72">
        <v>0.59699999999999998</v>
      </c>
      <c r="F38" s="291">
        <f>E38*Demographics!H38</f>
        <v>2550605.4869999997</v>
      </c>
      <c r="G38" s="119" t="s">
        <v>313</v>
      </c>
      <c r="H38" s="108">
        <v>0.92979616332292292</v>
      </c>
      <c r="I38" s="291">
        <f>H38*Demographics!H38</f>
        <v>3972434.1640921193</v>
      </c>
      <c r="J38" s="119" t="s">
        <v>313</v>
      </c>
      <c r="K38" s="108">
        <v>0.68275862068965498</v>
      </c>
      <c r="L38" s="291">
        <f>K38*Demographics!H38</f>
        <v>2916998.1310344818</v>
      </c>
      <c r="M38" s="119" t="s">
        <v>313</v>
      </c>
      <c r="N38" s="131">
        <v>0.919191919191919</v>
      </c>
      <c r="O38" s="292" t="s">
        <v>639</v>
      </c>
      <c r="P38" s="293">
        <v>0.128</v>
      </c>
      <c r="Q38" s="294">
        <f>P38*Demographics!H38</f>
        <v>546863.48800000001</v>
      </c>
    </row>
    <row r="39" spans="1:17" ht="14.25">
      <c r="A39" s="9">
        <v>38</v>
      </c>
      <c r="B39" s="1" t="s">
        <v>498</v>
      </c>
      <c r="C39" s="1" t="s">
        <v>499</v>
      </c>
      <c r="D39" s="65"/>
      <c r="E39" s="330">
        <f>E33</f>
        <v>0.501</v>
      </c>
      <c r="F39" s="331">
        <f>E39*Demographics!H39</f>
        <v>6552454.2510000002</v>
      </c>
      <c r="G39" s="332"/>
      <c r="H39" s="330">
        <f>H33</f>
        <v>0.83315666982923353</v>
      </c>
      <c r="I39" s="331">
        <f>H39*Demographics!H39</f>
        <v>10896648.628685758</v>
      </c>
      <c r="J39" s="332"/>
      <c r="K39" s="333">
        <v>0.49822204662188901</v>
      </c>
      <c r="L39" s="331">
        <f>K39*Demographics!H39</f>
        <v>6516122.0904780775</v>
      </c>
      <c r="M39" s="332"/>
      <c r="N39" s="334">
        <v>0.91593973037272003</v>
      </c>
      <c r="O39" s="292" t="s">
        <v>639</v>
      </c>
      <c r="P39" s="293">
        <v>0.10800000000000001</v>
      </c>
      <c r="Q39" s="294">
        <f>P39*Demographics!H39</f>
        <v>1412505.1080000002</v>
      </c>
    </row>
    <row r="40" spans="1:17" ht="14.25">
      <c r="A40" s="9">
        <v>39</v>
      </c>
      <c r="B40" s="1" t="s">
        <v>503</v>
      </c>
      <c r="C40" s="1" t="s">
        <v>504</v>
      </c>
      <c r="D40" s="65" t="s">
        <v>638</v>
      </c>
      <c r="E40" s="72">
        <v>0.56699999999999995</v>
      </c>
      <c r="F40" s="291">
        <f>E40*Demographics!H40</f>
        <v>630678.63599999994</v>
      </c>
      <c r="G40" s="119" t="s">
        <v>313</v>
      </c>
      <c r="H40" s="108">
        <v>0.86580086580086602</v>
      </c>
      <c r="I40" s="291">
        <f>H40*Demographics!H40</f>
        <v>963037.22943722969</v>
      </c>
      <c r="J40" s="119" t="s">
        <v>313</v>
      </c>
      <c r="K40" s="108">
        <v>0.536885245901639</v>
      </c>
      <c r="L40" s="291">
        <f>K40*Demographics!H40</f>
        <v>597181.75409836031</v>
      </c>
      <c r="M40" s="119" t="s">
        <v>313</v>
      </c>
      <c r="N40" s="131">
        <v>0.92366412213740501</v>
      </c>
      <c r="O40" s="292" t="s">
        <v>639</v>
      </c>
      <c r="P40" s="293">
        <v>9.6999999999999989E-2</v>
      </c>
      <c r="Q40" s="294">
        <f>P40*Demographics!H40</f>
        <v>107893.87599999999</v>
      </c>
    </row>
    <row r="41" spans="1:17" ht="14.25">
      <c r="A41" s="9">
        <v>40</v>
      </c>
      <c r="B41" s="1" t="s">
        <v>508</v>
      </c>
      <c r="C41" s="1" t="s">
        <v>509</v>
      </c>
      <c r="D41" s="65" t="s">
        <v>638</v>
      </c>
      <c r="E41" s="72">
        <v>0.57199999999999995</v>
      </c>
      <c r="F41" s="291">
        <f>E41*Demographics!H41</f>
        <v>3133891.3319999999</v>
      </c>
      <c r="G41" s="119" t="s">
        <v>313</v>
      </c>
      <c r="H41" s="108">
        <v>0.81726707888251926</v>
      </c>
      <c r="I41" s="291">
        <f>H41*Demographics!H41</f>
        <v>4477668.2070609918</v>
      </c>
      <c r="J41" s="119" t="s">
        <v>313</v>
      </c>
      <c r="K41" s="108">
        <v>0.54233409610983996</v>
      </c>
      <c r="L41" s="291">
        <f>K41*Demographics!H41</f>
        <v>2971356.8581235707</v>
      </c>
      <c r="M41" s="119" t="s">
        <v>313</v>
      </c>
      <c r="N41" s="131">
        <v>0.949367088607595</v>
      </c>
      <c r="O41" s="292" t="s">
        <v>639</v>
      </c>
      <c r="P41" s="293">
        <v>0.14400000000000002</v>
      </c>
      <c r="Q41" s="294">
        <f>P41*Demographics!H41</f>
        <v>788951.66400000011</v>
      </c>
    </row>
    <row r="42" spans="1:17" ht="14.25">
      <c r="A42" s="9">
        <v>41</v>
      </c>
      <c r="B42" s="1" t="s">
        <v>513</v>
      </c>
      <c r="C42" s="1" t="s">
        <v>514</v>
      </c>
      <c r="D42" s="65" t="s">
        <v>638</v>
      </c>
      <c r="E42" s="72">
        <v>0.57799999999999996</v>
      </c>
      <c r="F42" s="291">
        <f>E42*Demographics!H42</f>
        <v>534458.68199999991</v>
      </c>
      <c r="G42" s="119" t="s">
        <v>313</v>
      </c>
      <c r="H42" s="108">
        <v>0.79648644282392045</v>
      </c>
      <c r="I42" s="291">
        <f>H42*Demographics!H42</f>
        <v>736486.32259955164</v>
      </c>
      <c r="J42" s="119" t="s">
        <v>313</v>
      </c>
      <c r="K42" s="108">
        <v>0.58222222222222197</v>
      </c>
      <c r="L42" s="291">
        <f>K42*Demographics!H42</f>
        <v>538362.83999999973</v>
      </c>
      <c r="M42" s="119" t="s">
        <v>313</v>
      </c>
      <c r="N42" s="131">
        <v>0.954198473282443</v>
      </c>
      <c r="O42" s="292" t="s">
        <v>639</v>
      </c>
      <c r="P42" s="293">
        <v>0.09</v>
      </c>
      <c r="Q42" s="294">
        <f>P42*Demographics!H42</f>
        <v>83220.209999999992</v>
      </c>
    </row>
    <row r="43" spans="1:17" ht="14.25">
      <c r="A43" s="9">
        <v>42</v>
      </c>
      <c r="B43" s="1" t="s">
        <v>518</v>
      </c>
      <c r="C43" s="1" t="s">
        <v>519</v>
      </c>
      <c r="D43" s="65" t="s">
        <v>638</v>
      </c>
      <c r="E43" s="72">
        <v>0.621</v>
      </c>
      <c r="F43" s="291">
        <f>E43*Demographics!H43</f>
        <v>4488432.75</v>
      </c>
      <c r="G43" s="119" t="s">
        <v>313</v>
      </c>
      <c r="H43" s="108">
        <v>0.86</v>
      </c>
      <c r="I43" s="291">
        <f>H43*Demographics!H43</f>
        <v>6215865</v>
      </c>
      <c r="J43" s="257"/>
      <c r="K43" s="335">
        <v>0.64468864468864495</v>
      </c>
      <c r="L43" s="331">
        <f>K43*Demographics!H43</f>
        <v>4659648.351648354</v>
      </c>
      <c r="M43" s="332"/>
      <c r="N43" s="336">
        <v>0.96022727272727304</v>
      </c>
      <c r="O43" s="292" t="s">
        <v>639</v>
      </c>
      <c r="P43" s="293">
        <v>0.11699999999999999</v>
      </c>
      <c r="Q43" s="294">
        <f>P43*Demographics!H43</f>
        <v>845646.75</v>
      </c>
    </row>
    <row r="44" spans="1:17" ht="14.25">
      <c r="A44" s="9">
        <v>43</v>
      </c>
      <c r="B44" s="1" t="s">
        <v>523</v>
      </c>
      <c r="C44" s="1" t="s">
        <v>524</v>
      </c>
      <c r="D44" s="65" t="s">
        <v>638</v>
      </c>
      <c r="E44" s="72">
        <v>0.52300000000000002</v>
      </c>
      <c r="F44" s="291">
        <f>E44*Demographics!H44</f>
        <v>16365104.613</v>
      </c>
      <c r="G44" s="119" t="s">
        <v>313</v>
      </c>
      <c r="H44" s="108">
        <v>0.91916604110221611</v>
      </c>
      <c r="I44" s="291">
        <f>H44*Demographics!H44</f>
        <v>28761469.253068499</v>
      </c>
      <c r="J44" s="119" t="s">
        <v>313</v>
      </c>
      <c r="K44" s="108">
        <v>0.51932989690721698</v>
      </c>
      <c r="L44" s="291">
        <f>K44*Demographics!H44</f>
        <v>16250264.037371149</v>
      </c>
      <c r="M44" s="119" t="s">
        <v>313</v>
      </c>
      <c r="N44" s="131">
        <v>0.93300248138957798</v>
      </c>
      <c r="O44" s="292" t="s">
        <v>639</v>
      </c>
      <c r="P44" s="293">
        <v>0.16899999999999998</v>
      </c>
      <c r="Q44" s="294">
        <f>P44*Demographics!H44</f>
        <v>5288150.4389999993</v>
      </c>
    </row>
    <row r="45" spans="1:17" ht="14.25">
      <c r="A45" s="9">
        <v>44</v>
      </c>
      <c r="B45" s="1" t="s">
        <v>528</v>
      </c>
      <c r="C45" s="1" t="s">
        <v>529</v>
      </c>
      <c r="D45" s="65" t="s">
        <v>638</v>
      </c>
      <c r="E45" s="72">
        <v>0.55300000000000005</v>
      </c>
      <c r="F45" s="291">
        <f>E45*Demographics!H45</f>
        <v>1937497.9890000001</v>
      </c>
      <c r="G45" s="119" t="s">
        <v>313</v>
      </c>
      <c r="H45" s="108">
        <v>0.9145443050956148</v>
      </c>
      <c r="I45" s="291">
        <f>H45*Demographics!H45</f>
        <v>3204209.316408962</v>
      </c>
      <c r="J45" s="119" t="s">
        <v>313</v>
      </c>
      <c r="K45" s="108">
        <v>0.56985871271585598</v>
      </c>
      <c r="L45" s="291">
        <f>K45*Demographics!H45</f>
        <v>1996564.3940345382</v>
      </c>
      <c r="M45" s="119" t="s">
        <v>313</v>
      </c>
      <c r="N45" s="131">
        <v>0.91460055096418702</v>
      </c>
      <c r="O45" s="292" t="s">
        <v>639</v>
      </c>
      <c r="P45" s="293">
        <v>0.11800000000000001</v>
      </c>
      <c r="Q45" s="294">
        <f>P45*Demographics!H45</f>
        <v>413426.33400000003</v>
      </c>
    </row>
    <row r="46" spans="1:17" ht="14.25">
      <c r="A46" s="9">
        <v>45</v>
      </c>
      <c r="B46" s="1" t="s">
        <v>533</v>
      </c>
      <c r="C46" s="1" t="s">
        <v>534</v>
      </c>
      <c r="D46" s="65" t="s">
        <v>638</v>
      </c>
      <c r="E46" s="72">
        <v>0.58499999999999996</v>
      </c>
      <c r="F46" s="291">
        <f>E46*Demographics!H46</f>
        <v>379368.40499999997</v>
      </c>
      <c r="G46" s="119" t="s">
        <v>313</v>
      </c>
      <c r="H46" s="108">
        <v>0.87822473143574009</v>
      </c>
      <c r="I46" s="291">
        <f>H46*Demographics!H46</f>
        <v>569522.59076295735</v>
      </c>
      <c r="J46" s="119" t="s">
        <v>313</v>
      </c>
      <c r="K46" s="108">
        <v>0.75151515151515103</v>
      </c>
      <c r="L46" s="291">
        <f>K46*Demographics!H46</f>
        <v>487352.31515151483</v>
      </c>
      <c r="M46" s="119" t="s">
        <v>313</v>
      </c>
      <c r="N46" s="131">
        <v>0.92741935483870996</v>
      </c>
      <c r="O46" s="292" t="s">
        <v>639</v>
      </c>
      <c r="P46" s="293">
        <v>9.1999999999999998E-2</v>
      </c>
      <c r="Q46" s="294">
        <f>P46*Demographics!H46</f>
        <v>59661.356</v>
      </c>
    </row>
    <row r="47" spans="1:17" ht="14.25">
      <c r="A47" s="9">
        <v>46</v>
      </c>
      <c r="B47" s="1" t="s">
        <v>538</v>
      </c>
      <c r="C47" s="1" t="s">
        <v>539</v>
      </c>
      <c r="D47" s="65" t="s">
        <v>638</v>
      </c>
      <c r="E47" s="72">
        <v>0.54600000000000004</v>
      </c>
      <c r="F47" s="291">
        <f>E47*Demographics!H47</f>
        <v>4810912.4700000007</v>
      </c>
      <c r="G47" s="119" t="s">
        <v>313</v>
      </c>
      <c r="H47" s="108">
        <v>0.90831921309829289</v>
      </c>
      <c r="I47" s="291">
        <f>H47*Demographics!H47</f>
        <v>8003377.7088556131</v>
      </c>
      <c r="J47" s="119" t="s">
        <v>313</v>
      </c>
      <c r="K47" s="108">
        <v>0.59230769230769198</v>
      </c>
      <c r="L47" s="291">
        <f>K47*Demographics!H47</f>
        <v>5218938.5769230742</v>
      </c>
      <c r="M47" s="119" t="s">
        <v>313</v>
      </c>
      <c r="N47" s="131">
        <v>0.94805194805194803</v>
      </c>
      <c r="O47" s="292" t="s">
        <v>639</v>
      </c>
      <c r="P47" s="293">
        <v>0.1</v>
      </c>
      <c r="Q47" s="294">
        <f>P47*Demographics!H47</f>
        <v>881119.5</v>
      </c>
    </row>
    <row r="48" spans="1:17" ht="14.25">
      <c r="A48" s="9">
        <v>47</v>
      </c>
      <c r="B48" s="1" t="s">
        <v>543</v>
      </c>
      <c r="C48" s="1" t="s">
        <v>544</v>
      </c>
      <c r="D48" s="65" t="s">
        <v>638</v>
      </c>
      <c r="E48" s="72">
        <v>0.54700000000000004</v>
      </c>
      <c r="F48" s="291">
        <f>E48*Demographics!H48</f>
        <v>4353124.46</v>
      </c>
      <c r="G48" s="119" t="s">
        <v>313</v>
      </c>
      <c r="H48" s="108">
        <v>0.92833302584573119</v>
      </c>
      <c r="I48" s="291">
        <f>H48*Demographics!H48</f>
        <v>7387841.3196249809</v>
      </c>
      <c r="J48" s="119" t="s">
        <v>313</v>
      </c>
      <c r="K48" s="108">
        <v>0.60697115384615397</v>
      </c>
      <c r="L48" s="291">
        <f>K48*Demographics!H48</f>
        <v>4830385.6971153859</v>
      </c>
      <c r="M48" s="119" t="s">
        <v>313</v>
      </c>
      <c r="N48" s="131">
        <v>0.95445544554455497</v>
      </c>
      <c r="O48" s="292" t="s">
        <v>639</v>
      </c>
      <c r="P48" s="293">
        <v>9.5000000000000001E-2</v>
      </c>
      <c r="Q48" s="294">
        <f>P48*Demographics!H48</f>
        <v>756027.1</v>
      </c>
    </row>
    <row r="49" spans="1:17" ht="14.25">
      <c r="A49" s="9">
        <v>48</v>
      </c>
      <c r="B49" s="1" t="s">
        <v>548</v>
      </c>
      <c r="C49" s="1" t="s">
        <v>549</v>
      </c>
      <c r="D49" s="65" t="s">
        <v>638</v>
      </c>
      <c r="E49" s="72">
        <v>0.69599999999999995</v>
      </c>
      <c r="F49" s="291">
        <f>E49*Demographics!H49</f>
        <v>1231905.3839999998</v>
      </c>
      <c r="G49" s="119" t="s">
        <v>313</v>
      </c>
      <c r="H49" s="108">
        <v>0.91444710675880614</v>
      </c>
      <c r="I49" s="291">
        <f>H49*Demographics!H49</f>
        <v>1618552.1755738449</v>
      </c>
      <c r="J49" s="119" t="s">
        <v>313</v>
      </c>
      <c r="K49" s="108">
        <v>0.77319587628866004</v>
      </c>
      <c r="L49" s="291">
        <f>K49*Demographics!H49</f>
        <v>1368540.4639175262</v>
      </c>
      <c r="M49" s="119" t="s">
        <v>313</v>
      </c>
      <c r="N49" s="131">
        <v>0.96444444444444399</v>
      </c>
      <c r="O49" s="292" t="s">
        <v>639</v>
      </c>
      <c r="P49" s="293">
        <v>0.13699999999999998</v>
      </c>
      <c r="Q49" s="294">
        <f>P49*Demographics!H49</f>
        <v>242487.12299999996</v>
      </c>
    </row>
    <row r="50" spans="1:17" ht="14.25">
      <c r="A50" s="9">
        <v>49</v>
      </c>
      <c r="B50" s="1" t="s">
        <v>553</v>
      </c>
      <c r="C50" s="1" t="s">
        <v>554</v>
      </c>
      <c r="D50" s="65" t="s">
        <v>638</v>
      </c>
      <c r="E50" s="72">
        <v>0.56999999999999995</v>
      </c>
      <c r="F50" s="291">
        <f>E50*Demographics!H50</f>
        <v>3397755.7499999995</v>
      </c>
      <c r="G50" s="119" t="s">
        <v>313</v>
      </c>
      <c r="H50" s="108">
        <v>0.91363867836922996</v>
      </c>
      <c r="I50" s="291">
        <f>H50*Demographics!H50</f>
        <v>5446177.3207920203</v>
      </c>
      <c r="J50" s="119" t="s">
        <v>313</v>
      </c>
      <c r="K50" s="108">
        <v>0.597849462365591</v>
      </c>
      <c r="L50" s="291">
        <f>K50*Demographics!H50</f>
        <v>3563765.6989247287</v>
      </c>
      <c r="M50" s="119" t="s">
        <v>313</v>
      </c>
      <c r="N50" s="131">
        <v>0.92086330935251803</v>
      </c>
      <c r="O50" s="292" t="s">
        <v>639</v>
      </c>
      <c r="P50" s="293">
        <v>0.107</v>
      </c>
      <c r="Q50" s="294">
        <f>P50*Demographics!H50</f>
        <v>637824.32499999995</v>
      </c>
    </row>
    <row r="51" spans="1:17" ht="14.25">
      <c r="A51" s="13">
        <v>50</v>
      </c>
      <c r="B51" s="14" t="s">
        <v>558</v>
      </c>
      <c r="C51" s="14" t="s">
        <v>559</v>
      </c>
      <c r="D51" s="111" t="s">
        <v>638</v>
      </c>
      <c r="E51" s="112">
        <v>0.55500000000000005</v>
      </c>
      <c r="F51" s="295">
        <f>E51*Demographics!H51</f>
        <v>326127.99000000005</v>
      </c>
      <c r="G51" s="132" t="s">
        <v>313</v>
      </c>
      <c r="H51" s="112">
        <v>0.9465161363895549</v>
      </c>
      <c r="I51" s="295">
        <f>H51*Demographics!H51</f>
        <v>556189.91903295752</v>
      </c>
      <c r="J51" s="132" t="s">
        <v>313</v>
      </c>
      <c r="K51" s="113">
        <v>0.64900662251655605</v>
      </c>
      <c r="L51" s="295">
        <f>K51*Demographics!H51</f>
        <v>381367.97350993362</v>
      </c>
      <c r="M51" s="132" t="s">
        <v>313</v>
      </c>
      <c r="N51" s="134">
        <v>0.93877551020408201</v>
      </c>
      <c r="O51" s="296" t="s">
        <v>639</v>
      </c>
      <c r="P51" s="225">
        <v>0.13100000000000001</v>
      </c>
      <c r="Q51" s="297">
        <f>P51*Demographics!H51</f>
        <v>76977.957999999999</v>
      </c>
    </row>
    <row r="52" spans="1:17" s="4" customFormat="1" ht="14.25">
      <c r="E52" s="58"/>
      <c r="F52" s="58"/>
      <c r="G52" s="58"/>
      <c r="H52" s="58"/>
      <c r="I52" s="58"/>
      <c r="K52" s="71"/>
      <c r="L52" s="71"/>
    </row>
    <row r="53" spans="1:17" s="4" customFormat="1">
      <c r="E53" s="58"/>
      <c r="F53" s="58"/>
      <c r="G53" s="58"/>
      <c r="H53" s="58"/>
      <c r="I53" s="58"/>
    </row>
    <row r="54" spans="1:17" s="4" customFormat="1">
      <c r="E54" s="58"/>
      <c r="F54" s="58"/>
      <c r="G54" s="58"/>
      <c r="H54" s="58"/>
      <c r="I54" s="58"/>
    </row>
    <row r="55" spans="1:17" s="4" customFormat="1">
      <c r="E55" s="58"/>
      <c r="F55" s="58"/>
      <c r="G55" s="58"/>
      <c r="H55" s="58"/>
      <c r="I55" s="58"/>
    </row>
    <row r="56" spans="1:17" s="4" customFormat="1">
      <c r="E56" s="58"/>
      <c r="F56" s="58"/>
      <c r="G56" s="58"/>
      <c r="H56" s="58"/>
      <c r="I56" s="58"/>
    </row>
    <row r="57" spans="1:17" s="4" customFormat="1">
      <c r="E57" s="58"/>
      <c r="F57" s="58"/>
      <c r="G57" s="58"/>
      <c r="H57" s="58"/>
      <c r="I57" s="58"/>
    </row>
    <row r="58" spans="1:17" s="4" customFormat="1">
      <c r="E58" s="58"/>
      <c r="F58" s="58"/>
      <c r="G58" s="58"/>
      <c r="H58" s="58"/>
      <c r="I58" s="58"/>
    </row>
    <row r="59" spans="1:17" s="4" customFormat="1">
      <c r="E59" s="58"/>
      <c r="F59" s="58"/>
      <c r="G59" s="58"/>
      <c r="H59" s="58"/>
      <c r="I59" s="58"/>
    </row>
    <row r="60" spans="1:17" s="4" customFormat="1">
      <c r="E60" s="58"/>
      <c r="F60" s="58"/>
      <c r="G60" s="58"/>
      <c r="H60" s="58"/>
      <c r="I60" s="58"/>
    </row>
    <row r="61" spans="1:17" s="4" customFormat="1">
      <c r="E61" s="58"/>
      <c r="F61" s="58"/>
      <c r="G61" s="58"/>
      <c r="H61" s="58"/>
      <c r="I61" s="58"/>
    </row>
    <row r="62" spans="1:17" s="4" customFormat="1">
      <c r="E62" s="58"/>
      <c r="F62" s="58"/>
      <c r="G62" s="58"/>
      <c r="H62" s="58"/>
      <c r="I62" s="58"/>
    </row>
    <row r="63" spans="1:17" s="4" customFormat="1">
      <c r="E63" s="58"/>
      <c r="F63" s="58"/>
      <c r="G63" s="58"/>
      <c r="H63" s="58"/>
      <c r="I63" s="58"/>
    </row>
    <row r="64" spans="1:17" s="4" customFormat="1">
      <c r="E64" s="58"/>
      <c r="F64" s="58"/>
      <c r="G64" s="58"/>
      <c r="H64" s="58"/>
      <c r="I64" s="58"/>
    </row>
    <row r="65" spans="5:9" s="4" customFormat="1">
      <c r="E65" s="58"/>
      <c r="F65" s="58"/>
      <c r="G65" s="58"/>
      <c r="H65" s="58"/>
      <c r="I65" s="58"/>
    </row>
    <row r="66" spans="5:9" s="4" customFormat="1">
      <c r="E66" s="58"/>
      <c r="F66" s="58"/>
      <c r="G66" s="58"/>
      <c r="H66" s="58"/>
      <c r="I66" s="58"/>
    </row>
    <row r="67" spans="5:9" s="4" customFormat="1">
      <c r="E67" s="58"/>
      <c r="F67" s="58"/>
      <c r="G67" s="58"/>
      <c r="H67" s="58"/>
      <c r="I67" s="58"/>
    </row>
    <row r="68" spans="5:9" s="4" customFormat="1">
      <c r="E68" s="58"/>
      <c r="F68" s="58"/>
      <c r="G68" s="58"/>
      <c r="H68" s="58"/>
      <c r="I68" s="58"/>
    </row>
    <row r="69" spans="5:9" s="4" customFormat="1">
      <c r="E69" s="58"/>
      <c r="F69" s="58"/>
      <c r="G69" s="58"/>
      <c r="H69" s="58"/>
      <c r="I69" s="58"/>
    </row>
    <row r="70" spans="5:9" s="4" customFormat="1">
      <c r="E70" s="58"/>
      <c r="F70" s="58"/>
      <c r="G70" s="58"/>
      <c r="H70" s="58"/>
      <c r="I70" s="58"/>
    </row>
    <row r="71" spans="5:9" s="4" customFormat="1">
      <c r="E71" s="58"/>
      <c r="F71" s="58"/>
      <c r="G71" s="58"/>
      <c r="H71" s="58"/>
      <c r="I71" s="58"/>
    </row>
    <row r="72" spans="5:9" s="4" customFormat="1">
      <c r="E72" s="58"/>
      <c r="F72" s="58"/>
      <c r="G72" s="58"/>
      <c r="H72" s="58"/>
      <c r="I72" s="58"/>
    </row>
    <row r="73" spans="5:9" s="4" customFormat="1">
      <c r="E73" s="58"/>
      <c r="F73" s="58"/>
      <c r="G73" s="58"/>
      <c r="H73" s="58"/>
      <c r="I73" s="58"/>
    </row>
    <row r="74" spans="5:9" s="4" customFormat="1">
      <c r="E74" s="58"/>
      <c r="F74" s="58"/>
      <c r="G74" s="58"/>
      <c r="H74" s="58"/>
      <c r="I74" s="58"/>
    </row>
    <row r="75" spans="5:9" s="4" customFormat="1">
      <c r="E75" s="58"/>
      <c r="F75" s="58"/>
      <c r="G75" s="58"/>
      <c r="H75" s="58"/>
      <c r="I75" s="58"/>
    </row>
    <row r="76" spans="5:9" s="4" customFormat="1">
      <c r="E76" s="58"/>
      <c r="F76" s="58"/>
      <c r="G76" s="58"/>
      <c r="H76" s="58"/>
      <c r="I76" s="58"/>
    </row>
    <row r="77" spans="5:9" s="4" customFormat="1">
      <c r="E77" s="58"/>
      <c r="F77" s="58"/>
      <c r="G77" s="58"/>
      <c r="H77" s="58"/>
      <c r="I77" s="58"/>
    </row>
    <row r="78" spans="5:9" s="4" customFormat="1">
      <c r="E78" s="58"/>
      <c r="F78" s="58"/>
      <c r="G78" s="58"/>
      <c r="H78" s="58"/>
      <c r="I78" s="58"/>
    </row>
    <row r="79" spans="5:9" s="4" customFormat="1">
      <c r="E79" s="58"/>
      <c r="F79" s="58"/>
      <c r="G79" s="58"/>
      <c r="H79" s="58"/>
      <c r="I79" s="58"/>
    </row>
    <row r="80" spans="5:9" s="4" customFormat="1">
      <c r="E80" s="58"/>
      <c r="F80" s="58"/>
      <c r="G80" s="58"/>
      <c r="H80" s="58"/>
      <c r="I80" s="58"/>
    </row>
    <row r="81" spans="5:9" s="4" customFormat="1">
      <c r="E81" s="58"/>
      <c r="F81" s="58"/>
      <c r="G81" s="58"/>
      <c r="H81" s="58"/>
      <c r="I81" s="58"/>
    </row>
    <row r="82" spans="5:9" s="4" customFormat="1">
      <c r="E82" s="58"/>
      <c r="F82" s="58"/>
      <c r="G82" s="58"/>
      <c r="H82" s="58"/>
      <c r="I82" s="58"/>
    </row>
    <row r="83" spans="5:9" s="4" customFormat="1">
      <c r="E83" s="58"/>
      <c r="F83" s="58"/>
      <c r="G83" s="58"/>
      <c r="H83" s="58"/>
      <c r="I83" s="58"/>
    </row>
    <row r="84" spans="5:9" s="4" customFormat="1">
      <c r="E84" s="58"/>
      <c r="F84" s="58"/>
      <c r="G84" s="58"/>
      <c r="H84" s="58"/>
      <c r="I84" s="58"/>
    </row>
    <row r="85" spans="5:9" s="4" customFormat="1">
      <c r="E85" s="58"/>
      <c r="F85" s="58"/>
      <c r="G85" s="58"/>
      <c r="H85" s="58"/>
      <c r="I85" s="58"/>
    </row>
    <row r="86" spans="5:9" s="4" customFormat="1">
      <c r="E86" s="58"/>
      <c r="F86" s="58"/>
      <c r="G86" s="58"/>
      <c r="H86" s="58"/>
      <c r="I86" s="58"/>
    </row>
    <row r="87" spans="5:9" s="4" customFormat="1">
      <c r="E87" s="58"/>
      <c r="F87" s="58"/>
      <c r="G87" s="58"/>
      <c r="H87" s="58"/>
      <c r="I87" s="58"/>
    </row>
    <row r="88" spans="5:9" s="4" customFormat="1">
      <c r="E88" s="58"/>
      <c r="F88" s="58"/>
      <c r="G88" s="58"/>
      <c r="H88" s="58"/>
      <c r="I88" s="58"/>
    </row>
    <row r="89" spans="5:9" s="4" customFormat="1">
      <c r="E89" s="58"/>
      <c r="F89" s="58"/>
      <c r="G89" s="58"/>
      <c r="H89" s="58"/>
      <c r="I89" s="58"/>
    </row>
    <row r="90" spans="5:9" s="4" customFormat="1">
      <c r="E90" s="58"/>
      <c r="F90" s="58"/>
      <c r="G90" s="58"/>
      <c r="H90" s="58"/>
      <c r="I90" s="58"/>
    </row>
    <row r="91" spans="5:9" s="4" customFormat="1">
      <c r="E91" s="58"/>
      <c r="F91" s="58"/>
      <c r="G91" s="58"/>
      <c r="H91" s="58"/>
      <c r="I91" s="58"/>
    </row>
    <row r="92" spans="5:9" s="4" customFormat="1">
      <c r="E92" s="58"/>
      <c r="F92" s="58"/>
      <c r="G92" s="58"/>
      <c r="H92" s="58"/>
      <c r="I92" s="58"/>
    </row>
    <row r="93" spans="5:9" s="4" customFormat="1">
      <c r="E93" s="58"/>
      <c r="F93" s="58"/>
      <c r="G93" s="58"/>
      <c r="H93" s="58"/>
      <c r="I93" s="58"/>
    </row>
    <row r="94" spans="5:9" s="4" customFormat="1">
      <c r="E94" s="58"/>
      <c r="F94" s="58"/>
      <c r="G94" s="58"/>
      <c r="H94" s="58"/>
      <c r="I94" s="58"/>
    </row>
    <row r="95" spans="5:9" s="4" customFormat="1">
      <c r="E95" s="58"/>
      <c r="F95" s="58"/>
      <c r="G95" s="58"/>
      <c r="H95" s="58"/>
      <c r="I95" s="58"/>
    </row>
    <row r="96" spans="5:9" s="4" customFormat="1">
      <c r="E96" s="58"/>
      <c r="F96" s="58"/>
      <c r="G96" s="58"/>
      <c r="H96" s="58"/>
      <c r="I96" s="58"/>
    </row>
    <row r="97" spans="5:9" s="4" customFormat="1">
      <c r="E97" s="58"/>
      <c r="F97" s="58"/>
      <c r="G97" s="58"/>
      <c r="H97" s="58"/>
      <c r="I97" s="58"/>
    </row>
    <row r="98" spans="5:9" s="4" customFormat="1">
      <c r="E98" s="58"/>
      <c r="F98" s="58"/>
      <c r="G98" s="58"/>
      <c r="H98" s="58"/>
      <c r="I98" s="58"/>
    </row>
    <row r="99" spans="5:9" s="4" customFormat="1">
      <c r="E99" s="58"/>
      <c r="F99" s="58"/>
      <c r="G99" s="58"/>
      <c r="H99" s="58"/>
      <c r="I99" s="58"/>
    </row>
    <row r="100" spans="5:9" s="4" customFormat="1">
      <c r="E100" s="58"/>
      <c r="F100" s="58"/>
      <c r="G100" s="58"/>
      <c r="H100" s="58"/>
      <c r="I100" s="58"/>
    </row>
    <row r="101" spans="5:9" s="4" customFormat="1">
      <c r="E101" s="58"/>
      <c r="F101" s="58"/>
      <c r="G101" s="58"/>
      <c r="H101" s="58"/>
      <c r="I101" s="58"/>
    </row>
    <row r="102" spans="5:9" s="4" customFormat="1">
      <c r="E102" s="58"/>
      <c r="F102" s="58"/>
      <c r="G102" s="58"/>
      <c r="H102" s="58"/>
      <c r="I102" s="58"/>
    </row>
    <row r="103" spans="5:9" s="4" customFormat="1">
      <c r="E103" s="58"/>
      <c r="F103" s="58"/>
      <c r="G103" s="58"/>
      <c r="H103" s="58"/>
      <c r="I103" s="58"/>
    </row>
    <row r="104" spans="5:9" s="4" customFormat="1">
      <c r="E104" s="58"/>
      <c r="F104" s="58"/>
      <c r="G104" s="58"/>
      <c r="H104" s="58"/>
      <c r="I104" s="58"/>
    </row>
    <row r="105" spans="5:9" s="4" customFormat="1">
      <c r="E105" s="58"/>
      <c r="F105" s="58"/>
      <c r="G105" s="58"/>
      <c r="H105" s="58"/>
      <c r="I105" s="58"/>
    </row>
    <row r="106" spans="5:9" s="4" customFormat="1">
      <c r="E106" s="58"/>
      <c r="F106" s="58"/>
      <c r="G106" s="58"/>
      <c r="H106" s="58"/>
      <c r="I106" s="58"/>
    </row>
    <row r="107" spans="5:9" s="4" customFormat="1">
      <c r="E107" s="58"/>
      <c r="F107" s="58"/>
      <c r="G107" s="58"/>
      <c r="H107" s="58"/>
      <c r="I107" s="58"/>
    </row>
    <row r="108" spans="5:9" s="4" customFormat="1">
      <c r="E108" s="58"/>
      <c r="F108" s="58"/>
      <c r="G108" s="58"/>
      <c r="H108" s="58"/>
      <c r="I108" s="58"/>
    </row>
    <row r="109" spans="5:9" s="4" customFormat="1">
      <c r="E109" s="58"/>
      <c r="F109" s="58"/>
      <c r="G109" s="58"/>
      <c r="H109" s="58"/>
      <c r="I109" s="58"/>
    </row>
    <row r="110" spans="5:9" s="4" customFormat="1">
      <c r="E110" s="58"/>
      <c r="F110" s="58"/>
      <c r="G110" s="58"/>
      <c r="H110" s="58"/>
      <c r="I110" s="58"/>
    </row>
    <row r="111" spans="5:9" s="4" customFormat="1">
      <c r="E111" s="58"/>
      <c r="F111" s="58"/>
      <c r="G111" s="58"/>
      <c r="H111" s="58"/>
      <c r="I111" s="58"/>
    </row>
    <row r="112" spans="5:9" s="4" customFormat="1">
      <c r="E112" s="58"/>
      <c r="F112" s="58"/>
      <c r="G112" s="58"/>
      <c r="H112" s="58"/>
      <c r="I112" s="58"/>
    </row>
    <row r="113" spans="5:9" s="4" customFormat="1">
      <c r="E113" s="58"/>
      <c r="F113" s="58"/>
      <c r="G113" s="58"/>
      <c r="H113" s="58"/>
      <c r="I113" s="58"/>
    </row>
    <row r="114" spans="5:9" s="4" customFormat="1">
      <c r="E114" s="58"/>
      <c r="F114" s="58"/>
      <c r="G114" s="58"/>
      <c r="H114" s="58"/>
      <c r="I114" s="58"/>
    </row>
    <row r="115" spans="5:9" s="4" customFormat="1">
      <c r="E115" s="58"/>
      <c r="F115" s="58"/>
      <c r="G115" s="58"/>
      <c r="H115" s="58"/>
      <c r="I115" s="58"/>
    </row>
    <row r="116" spans="5:9" s="4" customFormat="1">
      <c r="E116" s="58"/>
      <c r="F116" s="58"/>
      <c r="G116" s="58"/>
      <c r="H116" s="58"/>
      <c r="I116" s="58"/>
    </row>
    <row r="117" spans="5:9" s="4" customFormat="1">
      <c r="E117" s="58"/>
      <c r="F117" s="58"/>
      <c r="G117" s="58"/>
      <c r="H117" s="58"/>
      <c r="I117" s="58"/>
    </row>
    <row r="118" spans="5:9" s="4" customFormat="1">
      <c r="E118" s="58"/>
      <c r="F118" s="58"/>
      <c r="G118" s="58"/>
      <c r="H118" s="58"/>
      <c r="I118" s="58"/>
    </row>
    <row r="119" spans="5:9" s="4" customFormat="1">
      <c r="E119" s="58"/>
      <c r="F119" s="58"/>
      <c r="G119" s="58"/>
      <c r="H119" s="58"/>
      <c r="I119" s="58"/>
    </row>
    <row r="120" spans="5:9" s="4" customFormat="1">
      <c r="E120" s="58"/>
      <c r="F120" s="58"/>
      <c r="G120" s="58"/>
      <c r="H120" s="58"/>
      <c r="I120" s="58"/>
    </row>
    <row r="121" spans="5:9" s="4" customFormat="1">
      <c r="E121" s="58"/>
      <c r="F121" s="58"/>
      <c r="G121" s="58"/>
      <c r="H121" s="58"/>
      <c r="I121" s="58"/>
    </row>
    <row r="122" spans="5:9" s="4" customFormat="1">
      <c r="E122" s="58"/>
      <c r="F122" s="58"/>
      <c r="G122" s="58"/>
      <c r="H122" s="58"/>
      <c r="I122" s="58"/>
    </row>
    <row r="123" spans="5:9" s="4" customFormat="1">
      <c r="E123" s="58"/>
      <c r="F123" s="58"/>
      <c r="G123" s="58"/>
      <c r="H123" s="58"/>
      <c r="I123" s="58"/>
    </row>
    <row r="124" spans="5:9" s="4" customFormat="1">
      <c r="E124" s="58"/>
      <c r="F124" s="58"/>
      <c r="G124" s="58"/>
      <c r="H124" s="58"/>
      <c r="I124" s="58"/>
    </row>
    <row r="125" spans="5:9" s="4" customFormat="1">
      <c r="E125" s="58"/>
      <c r="F125" s="58"/>
      <c r="G125" s="58"/>
      <c r="H125" s="58"/>
      <c r="I125" s="58"/>
    </row>
    <row r="126" spans="5:9" s="4" customFormat="1">
      <c r="E126" s="58"/>
      <c r="F126" s="58"/>
      <c r="G126" s="58"/>
      <c r="H126" s="58"/>
      <c r="I126" s="58"/>
    </row>
    <row r="127" spans="5:9" s="4" customFormat="1">
      <c r="E127" s="58"/>
      <c r="F127" s="58"/>
      <c r="G127" s="58"/>
      <c r="H127" s="58"/>
      <c r="I127" s="58"/>
    </row>
    <row r="128" spans="5:9" s="4" customFormat="1">
      <c r="E128" s="58"/>
      <c r="F128" s="58"/>
      <c r="G128" s="58"/>
      <c r="H128" s="58"/>
      <c r="I128" s="58"/>
    </row>
    <row r="129" spans="5:9" s="4" customFormat="1">
      <c r="E129" s="58"/>
      <c r="F129" s="58"/>
      <c r="G129" s="58"/>
      <c r="H129" s="58"/>
      <c r="I129" s="58"/>
    </row>
    <row r="130" spans="5:9" s="4" customFormat="1">
      <c r="E130" s="58"/>
      <c r="F130" s="58"/>
      <c r="G130" s="58"/>
      <c r="H130" s="58"/>
      <c r="I130" s="58"/>
    </row>
    <row r="131" spans="5:9" s="4" customFormat="1">
      <c r="E131" s="58"/>
      <c r="F131" s="58"/>
      <c r="G131" s="58"/>
      <c r="H131" s="58"/>
      <c r="I131" s="58"/>
    </row>
    <row r="132" spans="5:9" s="4" customFormat="1">
      <c r="E132" s="58"/>
      <c r="F132" s="58"/>
      <c r="G132" s="58"/>
      <c r="H132" s="58"/>
      <c r="I132" s="58"/>
    </row>
    <row r="133" spans="5:9" s="4" customFormat="1">
      <c r="E133" s="58"/>
      <c r="F133" s="58"/>
      <c r="G133" s="58"/>
      <c r="H133" s="58"/>
      <c r="I133" s="58"/>
    </row>
    <row r="134" spans="5:9" s="4" customFormat="1">
      <c r="E134" s="58"/>
      <c r="F134" s="58"/>
      <c r="G134" s="58"/>
      <c r="H134" s="58"/>
      <c r="I134" s="58"/>
    </row>
    <row r="135" spans="5:9" s="4" customFormat="1">
      <c r="E135" s="58"/>
      <c r="F135" s="58"/>
      <c r="G135" s="58"/>
      <c r="H135" s="58"/>
      <c r="I135" s="58"/>
    </row>
    <row r="136" spans="5:9" s="4" customFormat="1">
      <c r="E136" s="58"/>
      <c r="F136" s="58"/>
      <c r="G136" s="58"/>
      <c r="H136" s="58"/>
      <c r="I136" s="58"/>
    </row>
    <row r="137" spans="5:9" s="4" customFormat="1">
      <c r="E137" s="58"/>
      <c r="F137" s="58"/>
      <c r="G137" s="58"/>
      <c r="H137" s="58"/>
      <c r="I137" s="58"/>
    </row>
    <row r="138" spans="5:9" s="4" customFormat="1">
      <c r="E138" s="58"/>
      <c r="F138" s="58"/>
      <c r="G138" s="58"/>
      <c r="H138" s="58"/>
      <c r="I138" s="58"/>
    </row>
    <row r="139" spans="5:9" s="4" customFormat="1">
      <c r="E139" s="58"/>
      <c r="F139" s="58"/>
      <c r="G139" s="58"/>
      <c r="H139" s="58"/>
      <c r="I139" s="58"/>
    </row>
    <row r="140" spans="5:9" s="4" customFormat="1">
      <c r="E140" s="58"/>
      <c r="F140" s="58"/>
      <c r="G140" s="58"/>
      <c r="H140" s="58"/>
      <c r="I140" s="58"/>
    </row>
    <row r="141" spans="5:9" s="4" customFormat="1">
      <c r="E141" s="58"/>
      <c r="F141" s="58"/>
      <c r="G141" s="58"/>
      <c r="H141" s="58"/>
      <c r="I141" s="58"/>
    </row>
    <row r="142" spans="5:9" s="4" customFormat="1">
      <c r="E142" s="58"/>
      <c r="F142" s="58"/>
      <c r="G142" s="58"/>
      <c r="H142" s="58"/>
      <c r="I142" s="58"/>
    </row>
    <row r="143" spans="5:9" s="4" customFormat="1">
      <c r="E143" s="58"/>
      <c r="F143" s="58"/>
      <c r="G143" s="58"/>
      <c r="H143" s="58"/>
      <c r="I143" s="58"/>
    </row>
    <row r="144" spans="5:9" s="4" customFormat="1">
      <c r="E144" s="58"/>
      <c r="F144" s="58"/>
      <c r="G144" s="58"/>
      <c r="H144" s="58"/>
      <c r="I144" s="58"/>
    </row>
    <row r="145" spans="5:13" s="4" customFormat="1">
      <c r="E145" s="58"/>
      <c r="F145" s="58"/>
      <c r="G145" s="58"/>
      <c r="H145" s="58"/>
      <c r="I145" s="58"/>
    </row>
    <row r="146" spans="5:13" s="4" customFormat="1">
      <c r="E146" s="58"/>
      <c r="F146" s="58"/>
      <c r="G146" s="58"/>
      <c r="H146" s="58"/>
      <c r="I146" s="58"/>
      <c r="J146" s="1"/>
      <c r="M146" s="1"/>
    </row>
    <row r="147" spans="5:13" s="4" customFormat="1">
      <c r="E147" s="58"/>
      <c r="F147" s="58"/>
      <c r="G147" s="58"/>
      <c r="H147" s="58"/>
      <c r="I147" s="58"/>
      <c r="J147" s="1"/>
      <c r="K147" s="1"/>
      <c r="L147" s="1"/>
      <c r="M147" s="1"/>
    </row>
    <row r="148" spans="5:13" s="4" customFormat="1">
      <c r="E148" s="58"/>
      <c r="F148" s="58"/>
      <c r="G148" s="58"/>
      <c r="H148" s="58"/>
      <c r="I148" s="58"/>
      <c r="J148" s="1"/>
      <c r="K148" s="1"/>
      <c r="L148" s="1"/>
      <c r="M148" s="1"/>
    </row>
    <row r="149" spans="5:13" s="4" customFormat="1">
      <c r="E149" s="58"/>
      <c r="F149" s="58"/>
      <c r="G149" s="58"/>
      <c r="H149" s="58"/>
      <c r="I149" s="58"/>
      <c r="J149" s="1"/>
      <c r="K149" s="1"/>
      <c r="L149" s="1"/>
      <c r="M149" s="1"/>
    </row>
    <row r="150" spans="5:13" s="4" customFormat="1">
      <c r="E150" s="58"/>
      <c r="F150" s="58"/>
      <c r="G150" s="58"/>
      <c r="H150" s="58"/>
      <c r="I150" s="58"/>
      <c r="J150" s="1"/>
      <c r="K150" s="1"/>
      <c r="L150" s="1"/>
      <c r="M150" s="1"/>
    </row>
    <row r="151" spans="5:13" s="4" customFormat="1">
      <c r="E151" s="58"/>
      <c r="F151" s="58"/>
      <c r="G151" s="58"/>
      <c r="H151" s="58"/>
      <c r="I151" s="58"/>
      <c r="J151" s="1"/>
      <c r="K151" s="1"/>
      <c r="L151" s="1"/>
      <c r="M151" s="1"/>
    </row>
    <row r="152" spans="5:13" s="4" customFormat="1">
      <c r="E152" s="58"/>
      <c r="F152" s="58"/>
      <c r="G152" s="58"/>
      <c r="H152" s="58"/>
      <c r="I152" s="58"/>
      <c r="J152" s="1"/>
      <c r="K152" s="1"/>
      <c r="L152" s="1"/>
      <c r="M152" s="1"/>
    </row>
    <row r="153" spans="5:13" s="4" customFormat="1">
      <c r="E153" s="58"/>
      <c r="F153" s="58"/>
      <c r="G153" s="58"/>
      <c r="H153" s="58"/>
      <c r="I153" s="58"/>
      <c r="J153" s="1"/>
      <c r="K153" s="1"/>
      <c r="L153" s="1"/>
      <c r="M153" s="1"/>
    </row>
    <row r="154" spans="5:13" s="4" customFormat="1">
      <c r="E154" s="58"/>
      <c r="F154" s="58"/>
      <c r="G154" s="58"/>
      <c r="H154" s="58"/>
      <c r="I154" s="58"/>
      <c r="J154" s="1"/>
      <c r="K154" s="1"/>
      <c r="L154" s="1"/>
      <c r="M154" s="1"/>
    </row>
    <row r="155" spans="5:13" s="4" customFormat="1">
      <c r="E155" s="58"/>
      <c r="F155" s="58"/>
      <c r="G155" s="58"/>
      <c r="H155" s="58"/>
      <c r="I155" s="58"/>
      <c r="J155" s="1"/>
      <c r="K155" s="1"/>
      <c r="L155" s="1"/>
      <c r="M155" s="1"/>
    </row>
    <row r="156" spans="5:13" s="4" customFormat="1">
      <c r="E156" s="58"/>
      <c r="F156" s="58"/>
      <c r="G156" s="58"/>
      <c r="H156" s="58"/>
      <c r="I156" s="58"/>
      <c r="J156" s="1"/>
      <c r="K156" s="1"/>
      <c r="L156" s="1"/>
      <c r="M156" s="1"/>
    </row>
    <row r="157" spans="5:13" s="4" customFormat="1">
      <c r="E157" s="58"/>
      <c r="F157" s="58"/>
      <c r="G157" s="58"/>
      <c r="H157" s="58"/>
      <c r="I157" s="58"/>
      <c r="J157" s="1"/>
      <c r="K157" s="1"/>
      <c r="L157" s="1"/>
      <c r="M157" s="1"/>
    </row>
    <row r="158" spans="5:13" s="4" customFormat="1">
      <c r="E158" s="58"/>
      <c r="F158" s="58"/>
      <c r="G158" s="58"/>
      <c r="H158" s="58"/>
      <c r="I158" s="58"/>
      <c r="J158" s="1"/>
      <c r="K158" s="1"/>
      <c r="L158" s="1"/>
      <c r="M158" s="1"/>
    </row>
    <row r="159" spans="5:13" s="4" customFormat="1">
      <c r="E159" s="58"/>
      <c r="F159" s="58"/>
      <c r="G159" s="58"/>
      <c r="H159" s="58"/>
      <c r="I159" s="58"/>
      <c r="J159" s="1"/>
      <c r="K159" s="1"/>
      <c r="L159" s="1"/>
      <c r="M159" s="1"/>
    </row>
    <row r="160" spans="5:13" s="4" customFormat="1">
      <c r="E160" s="58"/>
      <c r="F160" s="58"/>
      <c r="G160" s="58"/>
      <c r="H160" s="58"/>
      <c r="I160" s="58"/>
      <c r="J160" s="1"/>
      <c r="K160" s="1"/>
      <c r="L160" s="1"/>
      <c r="M160" s="1"/>
    </row>
    <row r="161" spans="5:13" s="4" customFormat="1">
      <c r="E161" s="58"/>
      <c r="F161" s="58"/>
      <c r="G161" s="58"/>
      <c r="H161" s="58"/>
      <c r="I161" s="58"/>
      <c r="J161" s="1"/>
      <c r="K161" s="1"/>
      <c r="L161" s="1"/>
      <c r="M161" s="1"/>
    </row>
    <row r="162" spans="5:13" s="4" customFormat="1">
      <c r="E162" s="58"/>
      <c r="F162" s="58"/>
      <c r="G162" s="58"/>
      <c r="H162" s="58"/>
      <c r="I162" s="58"/>
      <c r="J162" s="1"/>
      <c r="K162" s="1"/>
      <c r="L162" s="1"/>
      <c r="M162" s="1"/>
    </row>
    <row r="163" spans="5:13" s="4" customFormat="1">
      <c r="E163" s="58"/>
      <c r="F163" s="58"/>
      <c r="G163" s="58"/>
      <c r="H163" s="58"/>
      <c r="I163" s="58"/>
      <c r="J163" s="1"/>
      <c r="K163" s="1"/>
      <c r="L163" s="1"/>
      <c r="M163" s="1"/>
    </row>
    <row r="164" spans="5:13" s="4" customFormat="1">
      <c r="E164" s="58"/>
      <c r="F164" s="58"/>
      <c r="G164" s="58"/>
      <c r="H164" s="58"/>
      <c r="I164" s="58"/>
      <c r="J164" s="1"/>
      <c r="K164" s="1"/>
      <c r="L164" s="1"/>
      <c r="M164" s="1"/>
    </row>
    <row r="165" spans="5:13" s="4" customFormat="1">
      <c r="E165" s="58"/>
      <c r="F165" s="58"/>
      <c r="G165" s="58"/>
      <c r="H165" s="58"/>
      <c r="I165" s="58"/>
      <c r="J165" s="1"/>
      <c r="K165" s="1"/>
      <c r="L165" s="1"/>
      <c r="M165" s="1"/>
    </row>
    <row r="166" spans="5:13" s="4" customFormat="1">
      <c r="E166" s="58"/>
      <c r="F166" s="58"/>
      <c r="G166" s="58"/>
      <c r="H166" s="58"/>
      <c r="I166" s="58"/>
      <c r="J166" s="1"/>
      <c r="K166" s="1"/>
      <c r="L166" s="1"/>
      <c r="M166" s="1"/>
    </row>
    <row r="167" spans="5:13" s="4" customFormat="1">
      <c r="E167" s="58"/>
      <c r="F167" s="58"/>
      <c r="G167" s="58"/>
      <c r="H167" s="58"/>
      <c r="I167" s="58"/>
      <c r="J167" s="1"/>
      <c r="K167" s="1"/>
      <c r="L167" s="1"/>
      <c r="M167" s="1"/>
    </row>
    <row r="168" spans="5:13" s="4" customFormat="1">
      <c r="E168" s="58"/>
      <c r="F168" s="58"/>
      <c r="G168" s="58"/>
      <c r="H168" s="58"/>
      <c r="I168" s="58"/>
      <c r="J168" s="1"/>
      <c r="K168" s="1"/>
      <c r="L168" s="1"/>
      <c r="M168" s="1"/>
    </row>
    <row r="169" spans="5:13" s="4" customFormat="1">
      <c r="E169" s="58"/>
      <c r="F169" s="58"/>
      <c r="G169" s="58"/>
      <c r="H169" s="58"/>
      <c r="I169" s="58"/>
      <c r="J169" s="1"/>
      <c r="K169" s="1"/>
      <c r="L169" s="1"/>
      <c r="M169" s="1"/>
    </row>
    <row r="170" spans="5:13" s="4" customFormat="1">
      <c r="E170" s="58"/>
      <c r="F170" s="58"/>
      <c r="G170" s="58"/>
      <c r="H170" s="58"/>
      <c r="I170" s="58"/>
      <c r="J170" s="1"/>
      <c r="K170" s="1"/>
      <c r="L170" s="1"/>
      <c r="M170" s="1"/>
    </row>
    <row r="171" spans="5:13" s="4" customFormat="1">
      <c r="E171" s="58"/>
      <c r="F171" s="58"/>
      <c r="G171" s="58"/>
      <c r="H171" s="58"/>
      <c r="I171" s="58"/>
      <c r="J171" s="1"/>
      <c r="K171" s="1"/>
      <c r="L171" s="1"/>
      <c r="M171" s="1"/>
    </row>
    <row r="172" spans="5:13" s="4" customFormat="1">
      <c r="E172" s="58"/>
      <c r="F172" s="58"/>
      <c r="G172" s="58"/>
      <c r="H172" s="58"/>
      <c r="I172" s="58"/>
      <c r="J172" s="1"/>
      <c r="K172" s="1"/>
      <c r="L172" s="1"/>
      <c r="M172" s="1"/>
    </row>
    <row r="173" spans="5:13" s="4" customFormat="1">
      <c r="E173" s="58"/>
      <c r="F173" s="58"/>
      <c r="G173" s="58"/>
      <c r="H173" s="58"/>
      <c r="I173" s="58"/>
      <c r="J173" s="1"/>
      <c r="K173" s="1"/>
      <c r="L173" s="1"/>
      <c r="M173" s="1"/>
    </row>
    <row r="174" spans="5:13" s="4" customFormat="1">
      <c r="E174" s="58"/>
      <c r="F174" s="58"/>
      <c r="G174" s="58"/>
      <c r="H174" s="58"/>
      <c r="I174" s="58"/>
      <c r="J174" s="1"/>
      <c r="K174" s="1"/>
      <c r="L174" s="1"/>
      <c r="M174" s="1"/>
    </row>
    <row r="175" spans="5:13" s="4" customFormat="1">
      <c r="E175" s="58"/>
      <c r="F175" s="58"/>
      <c r="G175" s="58"/>
      <c r="H175" s="58"/>
      <c r="I175" s="58"/>
      <c r="J175" s="1"/>
      <c r="K175" s="1"/>
      <c r="L175" s="1"/>
      <c r="M175" s="1"/>
    </row>
  </sheetData>
  <phoneticPr fontId="6" type="noConversion"/>
  <hyperlinks>
    <hyperlink ref="D2" r:id="rId1" xr:uid="{633B7FD7-2D15-47DB-A069-8F0908BE8D7C}"/>
    <hyperlink ref="G3" r:id="rId2" xr:uid="{961A52E3-898E-4F91-B8E2-A7A7F005DECC}"/>
    <hyperlink ref="O2" r:id="rId3" xr:uid="{6FCC05ED-EFE6-40D4-898A-DC53D18BD209}"/>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7AB21-419B-42FD-8DD1-FBF1C1EF53A9}">
  <sheetPr>
    <tabColor theme="0"/>
  </sheetPr>
  <dimension ref="A1:CX213"/>
  <sheetViews>
    <sheetView workbookViewId="0">
      <pane xSplit="2" ySplit="1" topLeftCell="AE4" activePane="bottomRight" state="frozen"/>
      <selection pane="bottomRight" activeCell="AE4" sqref="AE4"/>
      <selection pane="bottomLeft" activeCell="A2" sqref="A2"/>
      <selection pane="topRight" activeCell="C1" sqref="C1"/>
    </sheetView>
  </sheetViews>
  <sheetFormatPr defaultColWidth="11" defaultRowHeight="14.25"/>
  <cols>
    <col min="1" max="1" width="7.42578125" style="1" customWidth="1"/>
    <col min="2" max="2" width="15.42578125" style="1" customWidth="1"/>
    <col min="3" max="3" width="12.140625" style="1" customWidth="1"/>
    <col min="4" max="4" width="22.42578125" customWidth="1"/>
    <col min="5" max="5" width="19.140625" customWidth="1"/>
    <col min="6" max="6" width="17.28515625" style="26" customWidth="1"/>
    <col min="7" max="7" width="19.5703125" style="26" customWidth="1"/>
    <col min="8" max="8" width="20.42578125" style="26" customWidth="1"/>
    <col min="9" max="10" width="17" style="26" customWidth="1"/>
    <col min="11" max="11" width="19.42578125" style="26" customWidth="1"/>
    <col min="12" max="12" width="21.28515625" style="26" customWidth="1"/>
    <col min="13" max="13" width="21.5703125" style="26" customWidth="1"/>
    <col min="14" max="14" width="23.140625" style="26" customWidth="1"/>
    <col min="15" max="15" width="19.42578125" style="26" customWidth="1"/>
    <col min="16" max="16" width="21.28515625" style="26" customWidth="1"/>
    <col min="17" max="17" width="21.5703125" style="26" customWidth="1"/>
    <col min="18" max="18" width="23.140625" style="26" customWidth="1"/>
    <col min="19" max="27" width="19.42578125" style="26" customWidth="1"/>
    <col min="28" max="28" width="19.140625" customWidth="1"/>
    <col min="29" max="29" width="19.5703125" style="26" customWidth="1"/>
    <col min="30" max="30" width="21.85546875" style="26" customWidth="1"/>
    <col min="31" max="31" width="20" style="26" customWidth="1"/>
    <col min="32" max="32" width="19.85546875" style="26" customWidth="1"/>
    <col min="33" max="33" width="15.85546875" style="26" customWidth="1"/>
    <col min="34" max="34" width="17.140625" style="26" customWidth="1"/>
    <col min="35" max="35" width="18" style="26" customWidth="1"/>
    <col min="36" max="36" width="20.42578125" style="26" customWidth="1"/>
    <col min="37" max="37" width="16.140625" style="26" customWidth="1"/>
    <col min="38" max="38" width="19.85546875" style="26" customWidth="1"/>
    <col min="39" max="39" width="17" style="26" customWidth="1"/>
    <col min="40" max="40" width="16.5703125" style="26" customWidth="1"/>
    <col min="41" max="41" width="16.42578125" style="26" customWidth="1"/>
    <col min="42" max="42" width="17.28515625" style="26" customWidth="1"/>
    <col min="43" max="43" width="17.42578125" style="26" customWidth="1"/>
    <col min="44" max="44" width="17.140625" style="26" customWidth="1"/>
    <col min="45" max="45" width="16.28515625" style="26" customWidth="1"/>
    <col min="46" max="46" width="17.7109375" style="26" customWidth="1"/>
    <col min="47" max="47" width="20" style="26" customWidth="1"/>
    <col min="48" max="48" width="20.85546875" style="26" customWidth="1"/>
    <col min="49" max="49" width="20" style="26" customWidth="1"/>
    <col min="50" max="50" width="24.140625" style="26" customWidth="1"/>
    <col min="51" max="51" width="20" style="26" customWidth="1"/>
    <col min="52" max="102" width="11" style="26"/>
  </cols>
  <sheetData>
    <row r="1" spans="1:51" ht="46.15" customHeight="1">
      <c r="A1" s="5" t="s">
        <v>278</v>
      </c>
      <c r="B1" s="6" t="s">
        <v>279</v>
      </c>
      <c r="C1" s="6" t="s">
        <v>280</v>
      </c>
      <c r="D1" s="7" t="s">
        <v>185</v>
      </c>
      <c r="E1" s="136" t="s">
        <v>640</v>
      </c>
      <c r="F1" s="7" t="s">
        <v>193</v>
      </c>
      <c r="G1" s="136" t="s">
        <v>641</v>
      </c>
      <c r="H1" s="7" t="s">
        <v>200</v>
      </c>
      <c r="I1" s="136" t="s">
        <v>642</v>
      </c>
      <c r="J1" s="7" t="s">
        <v>206</v>
      </c>
      <c r="K1" s="228" t="s">
        <v>643</v>
      </c>
      <c r="L1" s="232" t="s">
        <v>644</v>
      </c>
      <c r="M1" s="232" t="s">
        <v>645</v>
      </c>
      <c r="N1" s="232" t="s">
        <v>646</v>
      </c>
      <c r="O1" s="228" t="s">
        <v>647</v>
      </c>
      <c r="P1" s="232" t="s">
        <v>648</v>
      </c>
      <c r="Q1" s="232" t="s">
        <v>649</v>
      </c>
      <c r="R1" s="232" t="s">
        <v>650</v>
      </c>
      <c r="S1" s="228" t="s">
        <v>651</v>
      </c>
      <c r="T1" s="232" t="s">
        <v>652</v>
      </c>
      <c r="U1" s="232" t="s">
        <v>653</v>
      </c>
      <c r="V1" s="232" t="s">
        <v>654</v>
      </c>
      <c r="W1" s="228" t="s">
        <v>655</v>
      </c>
      <c r="X1" s="232" t="s">
        <v>656</v>
      </c>
      <c r="Y1" s="232" t="s">
        <v>657</v>
      </c>
      <c r="Z1" s="232" t="s">
        <v>658</v>
      </c>
      <c r="AA1" s="228" t="s">
        <v>659</v>
      </c>
      <c r="AB1" s="136" t="s">
        <v>660</v>
      </c>
      <c r="AC1" s="136" t="s">
        <v>661</v>
      </c>
      <c r="AD1" s="136" t="s">
        <v>662</v>
      </c>
      <c r="AE1" s="228" t="s">
        <v>663</v>
      </c>
      <c r="AF1" s="232" t="s">
        <v>664</v>
      </c>
      <c r="AG1" s="232" t="s">
        <v>665</v>
      </c>
      <c r="AH1" s="232" t="s">
        <v>666</v>
      </c>
      <c r="AI1" s="228" t="s">
        <v>667</v>
      </c>
      <c r="AJ1" s="232" t="s">
        <v>668</v>
      </c>
      <c r="AK1" s="232" t="s">
        <v>669</v>
      </c>
      <c r="AL1" s="232" t="s">
        <v>670</v>
      </c>
      <c r="AM1" s="228" t="s">
        <v>671</v>
      </c>
      <c r="AN1" s="232" t="s">
        <v>672</v>
      </c>
      <c r="AO1" s="232" t="s">
        <v>673</v>
      </c>
      <c r="AP1" s="232" t="s">
        <v>674</v>
      </c>
      <c r="AQ1" s="228" t="s">
        <v>675</v>
      </c>
      <c r="AR1" s="232" t="s">
        <v>676</v>
      </c>
      <c r="AS1" s="232" t="s">
        <v>677</v>
      </c>
      <c r="AT1" s="232" t="s">
        <v>678</v>
      </c>
      <c r="AU1" s="228" t="s">
        <v>679</v>
      </c>
      <c r="AV1" s="232" t="s">
        <v>680</v>
      </c>
      <c r="AW1" s="232" t="s">
        <v>681</v>
      </c>
      <c r="AX1" s="136" t="s">
        <v>682</v>
      </c>
      <c r="AY1" s="136" t="s">
        <v>683</v>
      </c>
    </row>
    <row r="2" spans="1:51">
      <c r="A2" s="9">
        <v>0</v>
      </c>
      <c r="B2" s="1" t="s">
        <v>567</v>
      </c>
      <c r="C2" s="1" t="s">
        <v>568</v>
      </c>
      <c r="D2" s="301">
        <f>'Reimbursement data'!F53</f>
        <v>8.7468750000000046</v>
      </c>
      <c r="E2" s="313"/>
      <c r="F2" s="301">
        <v>97.47</v>
      </c>
      <c r="G2" s="313"/>
      <c r="H2" s="301">
        <f>'Reimbursement data'!I53</f>
        <v>45.027500000000003</v>
      </c>
      <c r="I2" s="313"/>
      <c r="J2" s="323">
        <f>'Reimbursement data'!L53</f>
        <v>31.142857142857142</v>
      </c>
      <c r="K2" s="197"/>
      <c r="L2" s="313"/>
      <c r="M2" s="313"/>
      <c r="N2" s="313"/>
      <c r="O2" s="197"/>
      <c r="P2" s="313"/>
      <c r="Q2" s="313"/>
      <c r="R2" s="313"/>
      <c r="S2" s="197"/>
      <c r="T2" s="313"/>
      <c r="U2" s="313"/>
      <c r="V2" s="313"/>
      <c r="W2" s="197"/>
      <c r="X2" s="313"/>
      <c r="Y2" s="313"/>
      <c r="Z2" s="313"/>
      <c r="AA2" s="197"/>
      <c r="AB2" s="313"/>
      <c r="AC2" s="313"/>
      <c r="AD2" s="313"/>
      <c r="AE2" s="197"/>
      <c r="AF2" s="313"/>
      <c r="AG2" s="313"/>
      <c r="AH2" s="313"/>
      <c r="AI2" s="197"/>
      <c r="AJ2" s="313"/>
      <c r="AK2" s="313"/>
      <c r="AL2" s="313"/>
      <c r="AM2" s="197"/>
      <c r="AN2" s="313"/>
      <c r="AO2" s="313"/>
      <c r="AP2" s="313"/>
      <c r="AQ2" s="197"/>
      <c r="AR2" s="313"/>
      <c r="AS2" s="313"/>
      <c r="AT2" s="313"/>
      <c r="AU2" s="197"/>
      <c r="AV2" s="313"/>
      <c r="AW2" s="313"/>
      <c r="AX2" s="313"/>
      <c r="AY2" s="197"/>
    </row>
    <row r="3" spans="1:51">
      <c r="A3" s="9">
        <v>1</v>
      </c>
      <c r="B3" s="1" t="s">
        <v>304</v>
      </c>
      <c r="C3" s="1" t="s">
        <v>305</v>
      </c>
      <c r="D3" s="301">
        <f t="shared" ref="D3:D34" si="0">$D$2</f>
        <v>8.7468750000000046</v>
      </c>
      <c r="E3" s="313">
        <f>'Demand calc &gt;&gt;&gt;'!$E2*'Assumptions data'!$E3*'National data'!$E4*'National data'!$F4*$D3</f>
        <v>761322560.74925423</v>
      </c>
      <c r="F3" s="301">
        <f t="shared" ref="F3:F34" si="1">$F$2</f>
        <v>97.47</v>
      </c>
      <c r="G3" s="313">
        <f>'Demand calc &gt;&gt;&gt;'!E2*'Assumptions data'!$G3*'National data'!$H4*'National data'!$I4*$F3</f>
        <v>1033954372.937821</v>
      </c>
      <c r="H3" s="301">
        <f>$H$2</f>
        <v>45.027500000000003</v>
      </c>
      <c r="I3" s="313">
        <f>'Demand calc &gt;&gt;&gt;'!E2*'Assumptions data'!$I3*'National data'!$K4*'National data'!$L4*$H3</f>
        <v>636864409.93752253</v>
      </c>
      <c r="J3" s="323">
        <f t="shared" ref="J3:J34" si="2">$J$2</f>
        <v>31.142857142857142</v>
      </c>
      <c r="K3" s="197">
        <f>'Demand calc &gt;&gt;&gt;'!$E2*'Assumptions data'!$J3*'National data'!$N4*'National data'!$O4*$J3</f>
        <v>770842492.73432839</v>
      </c>
      <c r="L3" s="313">
        <f>'Demand calc &gt;&gt;&gt;'!$F2*'Assumptions data'!$E3*'National data'!$E4*'National data'!$F4*$D3</f>
        <v>165834333.89051056</v>
      </c>
      <c r="M3" s="313">
        <f>'Demand calc &gt;&gt;&gt;'!$F2*'Assumptions data'!$G3*'National data'!$H4*'National data'!$I4*$F3</f>
        <v>225220088.76313475</v>
      </c>
      <c r="N3" s="313">
        <f>'Demand calc &gt;&gt;&gt;'!$F2*'Assumptions data'!$I3*'National data'!$K4*'National data'!$L4*$H3</f>
        <v>138724360.27197498</v>
      </c>
      <c r="O3" s="197">
        <f>'Demand calc &gt;&gt;&gt;'!$F2*'Assumptions data'!$J3*'National data'!$N4*'National data'!$O4*$J3</f>
        <v>167908003.66048828</v>
      </c>
      <c r="P3" s="313">
        <f>'Demand calc &gt;&gt;&gt;'!$G2*'Assumptions data'!$E3*'National data'!$E4*'National data'!$F4*$D3</f>
        <v>135265135.0523971</v>
      </c>
      <c r="Q3" s="313">
        <f>'Demand calc &gt;&gt;&gt;'!$G2*'Assumptions data'!$G3*'National data'!$H4*'National data'!$I4*$F3</f>
        <v>183703971.35717338</v>
      </c>
      <c r="R3" s="313">
        <f>'Demand calc &gt;&gt;&gt;'!$G2*'Assumptions data'!$I3*'National data'!$K4*'National data'!$L4*$H3</f>
        <v>113152499.16603571</v>
      </c>
      <c r="S3" s="197">
        <f>'Demand calc &gt;&gt;&gt;'!$G2*'Assumptions data'!$J3*'National data'!$N4*'National data'!$O4*$J3</f>
        <v>136956553.31850415</v>
      </c>
      <c r="T3" s="313">
        <f>'Demand calc &gt;&gt;&gt;'!$H2*'Assumptions data'!$E3*'National data'!$E4*'National data'!$F4*$D3</f>
        <v>394881898.90445644</v>
      </c>
      <c r="U3" s="313">
        <f>'Demand calc &gt;&gt;&gt;'!$H2*'Assumptions data'!$G3*'National data'!$H4*'National data'!$I4*$F3</f>
        <v>536290249.64718699</v>
      </c>
      <c r="V3" s="313">
        <f>'Demand calc &gt;&gt;&gt;'!$H2*'Assumptions data'!$I3*'National data'!$K4*'National data'!$L4*$H3</f>
        <v>330328090.22931796</v>
      </c>
      <c r="W3" s="197">
        <f>'Demand calc &gt;&gt;&gt;'!$H2*'Assumptions data'!$J3*'National data'!$N4*'National data'!$O4*$J3</f>
        <v>399819686.1362018</v>
      </c>
      <c r="X3" s="313">
        <f>'Demand calc &gt;&gt;&gt;'!$I2*'Assumptions data'!$E3*'National data'!$E4*'National data'!$F4*$D3</f>
        <v>11116027.61577001</v>
      </c>
      <c r="Y3" s="313">
        <f>'Demand calc &gt;&gt;&gt;'!$I2*'Assumptions data'!$G3*'National data'!$H4*'National data'!$I4*$F3</f>
        <v>15096709.273545906</v>
      </c>
      <c r="Z3" s="313">
        <f>'Demand calc &gt;&gt;&gt;'!$I2*'Assumptions data'!$I3*'National data'!$K4*'National data'!$L4*$H3</f>
        <v>9298821.2005689051</v>
      </c>
      <c r="AA3" s="197">
        <f>'Demand calc &gt;&gt;&gt;'!$I2*'Assumptions data'!$J3*'National data'!$N4*'National data'!$O4*$J3</f>
        <v>11255027.603820004</v>
      </c>
      <c r="AB3" s="313">
        <f>'Demand calc &gt;&gt;&gt;'!$J2*'Assumptions data'!$E3*'National data'!$E4*'National data'!$F4*D3</f>
        <v>261002564.82857174</v>
      </c>
      <c r="AC3" s="313">
        <f>'Demand calc &gt;&gt;&gt;'!J2*'Assumptions data'!$G3*'National data'!$H4*'National data'!$I4*$F3</f>
        <v>354468338.60657167</v>
      </c>
      <c r="AD3" s="313">
        <f>'Demand calc &gt;&gt;&gt;'!J2*'Assumptions data'!$I3*'National data'!$K4*'National data'!$L4*$H3</f>
        <v>218334846.50466686</v>
      </c>
      <c r="AE3" s="197">
        <f>'Demand calc &gt;&gt;&gt;'!J2*'Assumptions data'!$J3*'National data'!$N4*'National data'!$O4*$J3</f>
        <v>264266262.49523827</v>
      </c>
      <c r="AF3" s="313">
        <f>'Demand calc &gt;&gt;&gt;'!$K2*'Assumptions data'!$E3*'National data'!$E4*'National data'!$F4*D3</f>
        <v>150865624.38526854</v>
      </c>
      <c r="AG3" s="313">
        <f>'Demand calc &gt;&gt;&gt;'!$K2*'Assumptions data'!$G3*'National data'!$H4*'National data'!$I4*$F3</f>
        <v>204891041.06625673</v>
      </c>
      <c r="AH3" s="313">
        <f>'Demand calc &gt;&gt;&gt;'!K2*'Assumptions data'!$I3*'National data'!$K4*'National data'!$L4*$H3</f>
        <v>126202679.13697721</v>
      </c>
      <c r="AI3" s="197">
        <f>'Demand calc &gt;&gt;&gt;'!K2*'Assumptions data'!$J3*'National data'!$N4*'National data'!$O4*$J3</f>
        <v>152752118.43796027</v>
      </c>
      <c r="AJ3" s="313">
        <f>'Demand calc &gt;&gt;&gt;'!L2*'Assumptions data'!$E3*'National data'!$E4*'National data'!$F4*D3</f>
        <v>70995303.084003016</v>
      </c>
      <c r="AK3" s="313">
        <f>'Demand calc &gt;&gt;&gt;'!L2*'Assumptions data'!$G3*'National data'!$H4*'National data'!$I4*$F3</f>
        <v>96418926.571030006</v>
      </c>
      <c r="AL3" s="313">
        <f>'Demand calc &gt;&gt;&gt;'!L2*'Assumptions data'!$I3*'National data'!$K4*'National data'!$L4*$H3</f>
        <v>59389257.770624183</v>
      </c>
      <c r="AM3" s="197">
        <f>'Demand calc &gt;&gt;&gt;'!L2*'Assumptions data'!$J3*'National data'!$N4*'National data'!$O4*$J3</f>
        <v>71883061.42910482</v>
      </c>
      <c r="AN3" s="313">
        <f>'Demand calc &gt;&gt;&gt;'!M2*'Assumptions data'!$E3*'National data'!$E4*'National data'!$F4*D3</f>
        <v>60517285.376155704</v>
      </c>
      <c r="AO3" s="313">
        <f>'Demand calc &gt;&gt;&gt;'!M2*'Assumptions data'!$G3*'National data'!$H4*'National data'!$I4*$F3</f>
        <v>82188700.399764851</v>
      </c>
      <c r="AP3" s="313">
        <f>'Demand calc &gt;&gt;&gt;'!M2*'Assumptions data'!$I3*'National data'!$K4*'National data'!$L4*$H3</f>
        <v>50624147.016181551</v>
      </c>
      <c r="AQ3" s="197">
        <f>'Demand calc &gt;&gt;&gt;'!M2*'Assumptions data'!$J3*'National data'!$N4*'National data'!$O4*$J3</f>
        <v>61274021.706332676</v>
      </c>
      <c r="AR3" s="313">
        <f>'Demand calc &gt;&gt;&gt;'!N2*'Assumptions data'!$E3*'National data'!$E4*'National data'!$F4*D3</f>
        <v>2915311.7438912713</v>
      </c>
      <c r="AS3" s="313">
        <f>'Demand calc &gt;&gt;&gt;'!N2*'Assumptions data'!$G3*'National data'!$H4*'National data'!$I4*$F3</f>
        <v>3959293.3159722043</v>
      </c>
      <c r="AT3" s="313">
        <f>'Demand calc &gt;&gt;&gt;'!N2*'Assumptions data'!$I3*'National data'!$K4*'National data'!$L4*$H3</f>
        <v>2438727.5371558904</v>
      </c>
      <c r="AU3" s="197">
        <f>'Demand calc &gt;&gt;&gt;'!N2*'Assumptions data'!$J3*'National data'!$N4*'National data'!$O4*$J3</f>
        <v>2951766.1601242791</v>
      </c>
      <c r="AV3" s="313">
        <f>'Demand calc &gt;&gt;&gt;'!O2*'Assumptions data'!$E3*'National data'!$E4*'National data'!$F4*D3</f>
        <v>166018594.26150009</v>
      </c>
      <c r="AW3" s="313">
        <f>'Demand calc &gt;&gt;&gt;'!O2*'Assumptions data'!$G3*'National data'!$H4*'National data'!$I4*$F3</f>
        <v>225470333.30620497</v>
      </c>
      <c r="AX3" s="313">
        <f>'Demand calc &gt;&gt;&gt;'!O2*'Assumptions data'!$I3*'National data'!$K4*'National data'!$L4*$H3</f>
        <v>138878498.45005503</v>
      </c>
      <c r="AY3" s="197">
        <f>'Demand calc &gt;&gt;&gt;'!O2*'Assumptions data'!$J3*'National data'!$N4*'National data'!$O4*$J3</f>
        <v>168094568.109</v>
      </c>
    </row>
    <row r="4" spans="1:51">
      <c r="A4" s="9">
        <v>2</v>
      </c>
      <c r="B4" s="1" t="s">
        <v>314</v>
      </c>
      <c r="C4" s="1" t="s">
        <v>315</v>
      </c>
      <c r="D4" s="301">
        <f t="shared" si="0"/>
        <v>8.7468750000000046</v>
      </c>
      <c r="E4" s="313">
        <f>'Demand calc &gt;&gt;&gt;'!$E3*'Assumptions data'!$E4*'National data'!$E5*'National data'!$F5*D4</f>
        <v>95848604.887721092</v>
      </c>
      <c r="F4" s="301">
        <f t="shared" si="1"/>
        <v>97.47</v>
      </c>
      <c r="G4" s="313">
        <f>'Demand calc &gt;&gt;&gt;'!E3*'Assumptions data'!$G4*'National data'!$H5*'National data'!$I5*$F4</f>
        <v>130172267.67339784</v>
      </c>
      <c r="H4" s="301">
        <f t="shared" ref="H4:H52" si="3">$H$2</f>
        <v>45.027500000000003</v>
      </c>
      <c r="I4" s="313">
        <f>'Demand calc &gt;&gt;&gt;'!E3*'Assumptions data'!$I4*'National data'!$K5*'National data'!$L5*$H4</f>
        <v>80179635.206236765</v>
      </c>
      <c r="J4" s="323">
        <f t="shared" si="2"/>
        <v>31.142857142857142</v>
      </c>
      <c r="K4" s="197">
        <f>'Demand calc &gt;&gt;&gt;'!E3*'Assumptions data'!$J4*'National data'!$N5*'National data'!$O5*J4</f>
        <v>97047140.497249499</v>
      </c>
      <c r="L4" s="313">
        <f>'Demand calc &gt;&gt;&gt;'!$F3*'Assumptions data'!$E4*'National data'!$E5*'National data'!$F5*$D4</f>
        <v>29315034.13232382</v>
      </c>
      <c r="M4" s="313">
        <f>'Demand calc &gt;&gt;&gt;'!$F3*'Assumptions data'!$G4*'National data'!$H5*'National data'!$I5*$F4</f>
        <v>39812832.689612873</v>
      </c>
      <c r="N4" s="313">
        <f>'Demand calc &gt;&gt;&gt;'!$F3*'Assumptions data'!$I4*'National data'!$K5*'National data'!$L5*$H4</f>
        <v>24522722.532492653</v>
      </c>
      <c r="O4" s="197">
        <f>'Demand calc &gt;&gt;&gt;'!$F3*'Assumptions data'!$J4*'National data'!$N5*'National data'!$O5*$J4</f>
        <v>29681602.976422168</v>
      </c>
      <c r="P4" s="313">
        <f>'Demand calc &gt;&gt;&gt;'!$G3*'Assumptions data'!$E4*'National data'!$E5*'National data'!$F5*$D4</f>
        <v>20080562.458029818</v>
      </c>
      <c r="Q4" s="313">
        <f>'Demand calc &gt;&gt;&gt;'!$G3*'Assumptions data'!$G4*'National data'!$H5*'National data'!$I5*$F4</f>
        <v>27271469.985202733</v>
      </c>
      <c r="R4" s="313">
        <f>'Demand calc &gt;&gt;&gt;'!$G3*'Assumptions data'!$I4*'National data'!$K5*'National data'!$L5*$H4</f>
        <v>16797867.579887368</v>
      </c>
      <c r="S4" s="197">
        <f>'Demand calc &gt;&gt;&gt;'!$G3*'Assumptions data'!$J4*'National data'!$N5*'National data'!$O5*$J4</f>
        <v>20331659.166150935</v>
      </c>
      <c r="T4" s="313">
        <f>'Demand calc &gt;&gt;&gt;'!$H3*'Assumptions data'!$E4*'National data'!$E5*'National data'!$F5*$D4</f>
        <v>58448400.677863508</v>
      </c>
      <c r="U4" s="313">
        <f>'Demand calc &gt;&gt;&gt;'!$H3*'Assumptions data'!$G4*'National data'!$H5*'National data'!$I5*$F4</f>
        <v>79378942.103888094</v>
      </c>
      <c r="V4" s="313">
        <f>'Demand calc &gt;&gt;&gt;'!$H3*'Assumptions data'!$I4*'National data'!$K5*'National data'!$L5*$H4</f>
        <v>48893475.812493712</v>
      </c>
      <c r="W4" s="197">
        <f>'Demand calc &gt;&gt;&gt;'!$H3*'Assumptions data'!$J4*'National data'!$N5*'National data'!$O5*$J4</f>
        <v>59179266.709919646</v>
      </c>
      <c r="X4" s="313">
        <f>'Demand calc &gt;&gt;&gt;'!$I3*'Assumptions data'!$E4*'National data'!$E5*'National data'!$F5*$D4</f>
        <v>6875229.5861062529</v>
      </c>
      <c r="Y4" s="313">
        <f>'Demand calc &gt;&gt;&gt;'!$I3*'Assumptions data'!$G4*'National data'!$H5*'National data'!$I5*$F4</f>
        <v>9337269.1970536858</v>
      </c>
      <c r="Z4" s="313">
        <f>'Demand calc &gt;&gt;&gt;'!$I3*'Assumptions data'!$I4*'National data'!$K5*'National data'!$L5*$H4</f>
        <v>5751292.8938180627</v>
      </c>
      <c r="AA4" s="197">
        <f>'Demand calc &gt;&gt;&gt;'!$I3*'Assumptions data'!$J4*'National data'!$N5*'National data'!$O5*$J4</f>
        <v>6961200.6598874982</v>
      </c>
      <c r="AB4" s="313">
        <f>'Demand calc &gt;&gt;&gt;'!$J3*'Assumptions data'!$E4*'National data'!$E5*'National data'!$F5*D4</f>
        <v>24976274.642487042</v>
      </c>
      <c r="AC4" s="313">
        <f>'Demand calc &gt;&gt;&gt;'!J3*'Assumptions data'!$G4*'National data'!$H5*'National data'!$I5*$F4</f>
        <v>33920350.870569922</v>
      </c>
      <c r="AD4" s="313">
        <f>'Demand calc &gt;&gt;&gt;'!J3*'Assumptions data'!$I4*'National data'!$K5*'National data'!$L5*$H4</f>
        <v>20893247.136891179</v>
      </c>
      <c r="AE4" s="197">
        <f>'Demand calc &gt;&gt;&gt;'!J3*'Assumptions data'!$J4*'National data'!$N5*'National data'!$O5*$J4</f>
        <v>25288589.616580289</v>
      </c>
      <c r="AF4" s="313">
        <f>'Demand calc &gt;&gt;&gt;'!$K3*'Assumptions data'!$E4*'National data'!$E5*'National data'!$F5*D4</f>
        <v>20549507.915940043</v>
      </c>
      <c r="AG4" s="313">
        <f>'Demand calc &gt;&gt;&gt;'!$K3*'Assumptions data'!$G4*'National data'!$H5*'National data'!$I5*$F4</f>
        <v>27908346.168667495</v>
      </c>
      <c r="AH4" s="313">
        <f>'Demand calc &gt;&gt;&gt;'!K3*'Assumptions data'!$I4*'National data'!$K5*'National data'!$L5*$H4</f>
        <v>17190151.596862979</v>
      </c>
      <c r="AI4" s="197">
        <f>'Demand calc &gt;&gt;&gt;'!K3*'Assumptions data'!$J4*'National data'!$N5*'National data'!$O5*$J4</f>
        <v>20806468.536539495</v>
      </c>
      <c r="AJ4" s="313">
        <f>'Demand calc &gt;&gt;&gt;'!L3*'Assumptions data'!$E4*'National data'!$E5*'National data'!$F5*D4</f>
        <v>3801999.3502633316</v>
      </c>
      <c r="AK4" s="313">
        <f>'Demand calc &gt;&gt;&gt;'!L3*'Assumptions data'!$G4*'National data'!$H5*'National data'!$I5*$F4</f>
        <v>5163506.3201630954</v>
      </c>
      <c r="AL4" s="313">
        <f>'Demand calc &gt;&gt;&gt;'!L3*'Assumptions data'!$I4*'National data'!$K5*'National data'!$L5*$H4</f>
        <v>3180462.7862404678</v>
      </c>
      <c r="AM4" s="197">
        <f>'Demand calc &gt;&gt;&gt;'!L3*'Assumptions data'!$J4*'National data'!$N5*'National data'!$O5*$J4</f>
        <v>3849541.3214170327</v>
      </c>
      <c r="AN4" s="313">
        <f>'Demand calc &gt;&gt;&gt;'!M3*'Assumptions data'!$E4*'National data'!$E5*'National data'!$F5*D4</f>
        <v>4393736.7093982343</v>
      </c>
      <c r="AO4" s="313">
        <f>'Demand calc &gt;&gt;&gt;'!M3*'Assumptions data'!$G4*'National data'!$H5*'National data'!$I5*$F4</f>
        <v>5967146.5400274321</v>
      </c>
      <c r="AP4" s="313">
        <f>'Demand calc &gt;&gt;&gt;'!M3*'Assumptions data'!$I4*'National data'!$K5*'National data'!$L5*$H4</f>
        <v>3675465.1459400868</v>
      </c>
      <c r="AQ4" s="197">
        <f>'Demand calc &gt;&gt;&gt;'!M3*'Assumptions data'!$J4*'National data'!$N5*'National data'!$O5*$J4</f>
        <v>4448678.0401695566</v>
      </c>
      <c r="AR4" s="313">
        <f>'Demand calc &gt;&gt;&gt;'!N3*'Assumptions data'!$E4*'National data'!$E5*'National data'!$F5*D4</f>
        <v>1220535.8641373506</v>
      </c>
      <c r="AS4" s="313">
        <f>'Demand calc &gt;&gt;&gt;'!N3*'Assumptions data'!$G4*'National data'!$H5*'National data'!$I5*$F4</f>
        <v>1657613.2891822911</v>
      </c>
      <c r="AT4" s="313">
        <f>'Demand calc &gt;&gt;&gt;'!N3*'Assumptions data'!$I4*'National data'!$K5*'National data'!$L5*$H4</f>
        <v>1021007.248434125</v>
      </c>
      <c r="AU4" s="197">
        <f>'Demand calc &gt;&gt;&gt;'!N3*'Assumptions data'!$J4*'National data'!$N5*'National data'!$O5*$J4</f>
        <v>1235798.0132065916</v>
      </c>
      <c r="AV4" s="313">
        <f>'Demand calc &gt;&gt;&gt;'!O3*'Assumptions data'!$E4*'National data'!$E5*'National data'!$F5*D4</f>
        <v>21544975.576800015</v>
      </c>
      <c r="AW4" s="313">
        <f>'Demand calc &gt;&gt;&gt;'!O3*'Assumptions data'!$G4*'National data'!$H5*'National data'!$I5*$F4</f>
        <v>29260293.679655999</v>
      </c>
      <c r="AX4" s="313">
        <f>'Demand calc &gt;&gt;&gt;'!O3*'Assumptions data'!$I4*'National data'!$K5*'National data'!$L5*$H4</f>
        <v>18022883.945976004</v>
      </c>
      <c r="AY4" s="197">
        <f>'Demand calc &gt;&gt;&gt;'!O3*'Assumptions data'!$J4*'National data'!$N5*'National data'!$O5*$J4</f>
        <v>21814383.9888</v>
      </c>
    </row>
    <row r="5" spans="1:51">
      <c r="A5" s="9">
        <v>3</v>
      </c>
      <c r="B5" s="1" t="s">
        <v>321</v>
      </c>
      <c r="C5" s="1" t="s">
        <v>322</v>
      </c>
      <c r="D5" s="301">
        <f t="shared" si="0"/>
        <v>8.7468750000000046</v>
      </c>
      <c r="E5" s="313">
        <f>'Demand calc &gt;&gt;&gt;'!$E4*'Assumptions data'!$E5*'National data'!$E6*'National data'!$F6*D5</f>
        <v>910006329.26167524</v>
      </c>
      <c r="F5" s="301">
        <f t="shared" si="1"/>
        <v>97.47</v>
      </c>
      <c r="G5" s="313">
        <f>'Demand calc &gt;&gt;&gt;'!E4*'Assumptions data'!$G5*'National data'!$H6*'National data'!$I6*$F5</f>
        <v>1235882229.2291112</v>
      </c>
      <c r="H5" s="301">
        <f t="shared" si="3"/>
        <v>45.027500000000003</v>
      </c>
      <c r="I5" s="313">
        <f>'Demand calc &gt;&gt;&gt;'!E4*'Assumptions data'!$I5*'National data'!$K6*'National data'!$L6*$H5</f>
        <v>761241914.79927254</v>
      </c>
      <c r="J5" s="323">
        <f t="shared" si="2"/>
        <v>31.142857142857142</v>
      </c>
      <c r="K5" s="197">
        <f>'Demand calc &gt;&gt;&gt;'!E4*'Assumptions data'!$J5*'National data'!$N6*'National data'!$O6*J5</f>
        <v>921385472.35712254</v>
      </c>
      <c r="L5" s="313">
        <f>'Demand calc &gt;&gt;&gt;'!$F4*'Assumptions data'!$E5*'National data'!$E6*'National data'!$F6*$D5</f>
        <v>300323365.50505668</v>
      </c>
      <c r="M5" s="313">
        <f>'Demand calc &gt;&gt;&gt;'!$F4*'Assumptions data'!$G5*'National data'!$H6*'National data'!$I6*$F5</f>
        <v>407870031.79540426</v>
      </c>
      <c r="N5" s="313">
        <f>'Demand calc &gt;&gt;&gt;'!$F4*'Assumptions data'!$I5*'National data'!$K6*'National data'!$L6*$H5</f>
        <v>251227630.47320634</v>
      </c>
      <c r="O5" s="197">
        <f>'Demand calc &gt;&gt;&gt;'!$F4*'Assumptions data'!$J5*'National data'!$N6*'National data'!$O6*$J5</f>
        <v>304078748.78218293</v>
      </c>
      <c r="P5" s="313">
        <f>'Demand calc &gt;&gt;&gt;'!$G4*'Assumptions data'!$E5*'National data'!$E6*'National data'!$F6*$D5</f>
        <v>278212791.89415753</v>
      </c>
      <c r="Q5" s="313">
        <f>'Demand calc &gt;&gt;&gt;'!$G4*'Assumptions data'!$G5*'National data'!$H6*'National data'!$I6*$F5</f>
        <v>377841597.78885931</v>
      </c>
      <c r="R5" s="313">
        <f>'Demand calc &gt;&gt;&gt;'!$G4*'Assumptions data'!$I5*'National data'!$K6*'National data'!$L6*$H5</f>
        <v>232731610.33395389</v>
      </c>
      <c r="S5" s="197">
        <f>'Demand calc &gt;&gt;&gt;'!$G4*'Assumptions data'!$J5*'National data'!$N6*'National data'!$O6*$J5</f>
        <v>281691694.25796425</v>
      </c>
      <c r="T5" s="313">
        <f>'Demand calc &gt;&gt;&gt;'!$H4*'Assumptions data'!$E5*'National data'!$E6*'National data'!$F6*$D5</f>
        <v>567707481.31473839</v>
      </c>
      <c r="U5" s="313">
        <f>'Demand calc &gt;&gt;&gt;'!$H4*'Assumptions data'!$G5*'National data'!$H6*'National data'!$I6*$F5</f>
        <v>771005173.25693214</v>
      </c>
      <c r="V5" s="313">
        <f>'Demand calc &gt;&gt;&gt;'!$H4*'Assumptions data'!$I5*'National data'!$K6*'National data'!$L6*$H5</f>
        <v>474900795.98955595</v>
      </c>
      <c r="W5" s="197">
        <f>'Demand calc &gt;&gt;&gt;'!$H4*'Assumptions data'!$J5*'National data'!$N6*'National data'!$O6*$J5</f>
        <v>574806360.14504015</v>
      </c>
      <c r="X5" s="313">
        <f>'Demand calc &gt;&gt;&gt;'!$I4*'Assumptions data'!$E5*'National data'!$E6*'National data'!$F6*$D5</f>
        <v>16506849.968000025</v>
      </c>
      <c r="Y5" s="313">
        <f>'Demand calc &gt;&gt;&gt;'!$I4*'Assumptions data'!$G5*'National data'!$H6*'National data'!$I6*$F5</f>
        <v>22418000.710560016</v>
      </c>
      <c r="Z5" s="313">
        <f>'Demand calc &gt;&gt;&gt;'!$I4*'Assumptions data'!$I5*'National data'!$K6*'National data'!$L6*$H5</f>
        <v>13808372.175982237</v>
      </c>
      <c r="AA5" s="197">
        <f>'Demand calc &gt;&gt;&gt;'!$I4*'Assumptions data'!$J5*'National data'!$N6*'National data'!$O6*$J5</f>
        <v>16713259.310222235</v>
      </c>
      <c r="AB5" s="313">
        <f>'Demand calc &gt;&gt;&gt;'!$J4*'Assumptions data'!$E5*'National data'!$E6*'National data'!$F6*D5</f>
        <v>237998343.49486008</v>
      </c>
      <c r="AC5" s="313">
        <f>'Demand calc &gt;&gt;&gt;'!J4*'Assumptions data'!$G5*'National data'!$H6*'National data'!$I6*$F5</f>
        <v>323226239.0415563</v>
      </c>
      <c r="AD5" s="313">
        <f>'Demand calc &gt;&gt;&gt;'!J4*'Assumptions data'!$I5*'National data'!$K6*'National data'!$L6*$H5</f>
        <v>199091268.81356558</v>
      </c>
      <c r="AE5" s="197">
        <f>'Demand calc &gt;&gt;&gt;'!J4*'Assumptions data'!$J5*'National data'!$N6*'National data'!$O6*$J5</f>
        <v>240974385.6607478</v>
      </c>
      <c r="AF5" s="313">
        <f>'Demand calc &gt;&gt;&gt;'!$K4*'Assumptions data'!$E5*'National data'!$E6*'National data'!$F6*D5</f>
        <v>177954392.98900029</v>
      </c>
      <c r="AG5" s="313">
        <f>'Demand calc &gt;&gt;&gt;'!$K4*'Assumptions data'!$G5*'National data'!$H6*'National data'!$I6*$F5</f>
        <v>241680376.0989196</v>
      </c>
      <c r="AH5" s="313">
        <f>'Demand calc &gt;&gt;&gt;'!K4*'Assumptions data'!$I5*'National data'!$K6*'National data'!$L6*$H5</f>
        <v>148863077.66210601</v>
      </c>
      <c r="AI5" s="197">
        <f>'Demand calc &gt;&gt;&gt;'!K4*'Assumptions data'!$J5*'National data'!$N6*'National data'!$O6*$J5</f>
        <v>180179617.62444678</v>
      </c>
      <c r="AJ5" s="313">
        <f>'Demand calc &gt;&gt;&gt;'!L4*'Assumptions data'!$E5*'National data'!$E6*'National data'!$F6*D5</f>
        <v>72404072.020205036</v>
      </c>
      <c r="AK5" s="313">
        <f>'Demand calc &gt;&gt;&gt;'!L4*'Assumptions data'!$G5*'National data'!$H6*'National data'!$I6*$F5</f>
        <v>98332179.740109265</v>
      </c>
      <c r="AL5" s="313">
        <f>'Demand calc &gt;&gt;&gt;'!L4*'Assumptions data'!$I5*'National data'!$K6*'National data'!$L6*$H5</f>
        <v>60567726.455973059</v>
      </c>
      <c r="AM5" s="197">
        <f>'Demand calc &gt;&gt;&gt;'!L4*'Assumptions data'!$J5*'National data'!$N6*'National data'!$O6*$J5</f>
        <v>73309446.268403336</v>
      </c>
      <c r="AN5" s="313">
        <f>'Demand calc &gt;&gt;&gt;'!M4*'Assumptions data'!$E5*'National data'!$E6*'National data'!$F6*D5</f>
        <v>56403067.009301648</v>
      </c>
      <c r="AO5" s="313">
        <f>'Demand calc &gt;&gt;&gt;'!M4*'Assumptions data'!$G5*'National data'!$H6*'National data'!$I6*$F5</f>
        <v>76601168.529642195</v>
      </c>
      <c r="AP5" s="313">
        <f>'Demand calc &gt;&gt;&gt;'!M4*'Assumptions data'!$I5*'National data'!$K6*'National data'!$L6*$H5</f>
        <v>47182505.604712069</v>
      </c>
      <c r="AQ5" s="197">
        <f>'Demand calc &gt;&gt;&gt;'!M4*'Assumptions data'!$J5*'National data'!$N6*'National data'!$O6*$J5</f>
        <v>57108357.236284666</v>
      </c>
      <c r="AR5" s="313">
        <f>'Demand calc &gt;&gt;&gt;'!N4*'Assumptions data'!$E5*'National data'!$E6*'National data'!$F6*D5</f>
        <v>3348802.1472254507</v>
      </c>
      <c r="AS5" s="313">
        <f>'Demand calc &gt;&gt;&gt;'!N4*'Assumptions data'!$G5*'National data'!$H6*'National data'!$I6*$F5</f>
        <v>4548017.8872141885</v>
      </c>
      <c r="AT5" s="313">
        <f>'Demand calc &gt;&gt;&gt;'!N4*'Assumptions data'!$I5*'National data'!$K6*'National data'!$L6*$H5</f>
        <v>2801352.5586202512</v>
      </c>
      <c r="AU5" s="197">
        <f>'Demand calc &gt;&gt;&gt;'!N4*'Assumptions data'!$J5*'National data'!$N6*'National data'!$O6*$J5</f>
        <v>3390677.1294165491</v>
      </c>
      <c r="AV5" s="313">
        <f>'Demand calc &gt;&gt;&gt;'!O4*'Assumptions data'!$E5*'National data'!$E6*'National data'!$F6*D5</f>
        <v>250432495.22880015</v>
      </c>
      <c r="AW5" s="313">
        <f>'Demand calc &gt;&gt;&gt;'!O4*'Assumptions data'!$G5*'National data'!$H6*'National data'!$I6*$F5</f>
        <v>340113096.49449599</v>
      </c>
      <c r="AX5" s="313">
        <f>'Demand calc &gt;&gt;&gt;'!O4*'Assumptions data'!$I5*'National data'!$K6*'National data'!$L6*$H5</f>
        <v>209492732.15561602</v>
      </c>
      <c r="AY5" s="197">
        <f>'Demand calc &gt;&gt;&gt;'!O4*'Assumptions data'!$J5*'National data'!$N6*'National data'!$O6*$J5</f>
        <v>253564019.82080001</v>
      </c>
    </row>
    <row r="6" spans="1:51">
      <c r="A6" s="9">
        <v>4</v>
      </c>
      <c r="B6" s="1" t="s">
        <v>327</v>
      </c>
      <c r="C6" s="1" t="s">
        <v>328</v>
      </c>
      <c r="D6" s="301">
        <f t="shared" si="0"/>
        <v>8.7468750000000046</v>
      </c>
      <c r="E6" s="313">
        <f>'Demand calc &gt;&gt;&gt;'!$E5*'Assumptions data'!$E6*'National data'!$E7*'National data'!$F7*D6</f>
        <v>454328475.16186053</v>
      </c>
      <c r="F6" s="301">
        <f t="shared" si="1"/>
        <v>97.47</v>
      </c>
      <c r="G6" s="313">
        <f>'Demand calc &gt;&gt;&gt;'!E5*'Assumptions data'!$G6*'National data'!$H7*'National data'!$I7*$F6</f>
        <v>617024816.89426005</v>
      </c>
      <c r="H6" s="301">
        <f t="shared" si="3"/>
        <v>45.027500000000003</v>
      </c>
      <c r="I6" s="313">
        <f>'Demand calc &gt;&gt;&gt;'!E5*'Assumptions data'!$I6*'National data'!$K7*'National data'!$L7*$H6</f>
        <v>380056563.62923706</v>
      </c>
      <c r="J6" s="323">
        <f t="shared" si="2"/>
        <v>31.142857142857142</v>
      </c>
      <c r="K6" s="197">
        <f>'Demand calc &gt;&gt;&gt;'!E5*'Assumptions data'!$J6*'National data'!$N7*'National data'!$O7*J6</f>
        <v>460009610.07813925</v>
      </c>
      <c r="L6" s="313">
        <f>'Demand calc &gt;&gt;&gt;'!$F5*'Assumptions data'!$E6*'National data'!$E7*'National data'!$F7*$D6</f>
        <v>107875322.54850197</v>
      </c>
      <c r="M6" s="313">
        <f>'Demand calc &gt;&gt;&gt;'!$F5*'Assumptions data'!$G6*'National data'!$H7*'National data'!$I7*$F6</f>
        <v>146505787.73251045</v>
      </c>
      <c r="N6" s="313">
        <f>'Demand calc &gt;&gt;&gt;'!$F5*'Assumptions data'!$I6*'National data'!$K7*'National data'!$L7*$H6</f>
        <v>90240270.266073182</v>
      </c>
      <c r="O6" s="197">
        <f>'Demand calc &gt;&gt;&gt;'!$F5*'Assumptions data'!$J6*'National data'!$N7*'National data'!$O7*$J6</f>
        <v>109224245.8386761</v>
      </c>
      <c r="P6" s="313">
        <f>'Demand calc &gt;&gt;&gt;'!$G5*'Assumptions data'!$E6*'National data'!$E7*'National data'!$F7*$D6</f>
        <v>88599019.287473023</v>
      </c>
      <c r="Q6" s="313">
        <f>'Demand calc &gt;&gt;&gt;'!$G5*'Assumptions data'!$G6*'National data'!$H7*'National data'!$I7*$F6</f>
        <v>120326584.49019279</v>
      </c>
      <c r="R6" s="313">
        <f>'Demand calc &gt;&gt;&gt;'!$G5*'Assumptions data'!$I6*'National data'!$K7*'National data'!$L7*$H6</f>
        <v>74115184.61245726</v>
      </c>
      <c r="S6" s="197">
        <f>'Demand calc &gt;&gt;&gt;'!$G5*'Assumptions data'!$J6*'National data'!$N7*'National data'!$O7*$J6</f>
        <v>89706902.70121415</v>
      </c>
      <c r="T6" s="313">
        <f>'Demand calc &gt;&gt;&gt;'!$H5*'Assumptions data'!$E6*'National data'!$E7*'National data'!$F7*$D6</f>
        <v>167080785.97860622</v>
      </c>
      <c r="U6" s="313">
        <f>'Demand calc &gt;&gt;&gt;'!$H5*'Assumptions data'!$G6*'National data'!$H7*'National data'!$I7*$F6</f>
        <v>226912898.95107353</v>
      </c>
      <c r="V6" s="313">
        <f>'Demand calc &gt;&gt;&gt;'!$H5*'Assumptions data'!$I6*'National data'!$K7*'National data'!$L7*$H6</f>
        <v>139767047.05748045</v>
      </c>
      <c r="W6" s="197">
        <f>'Demand calc &gt;&gt;&gt;'!$H5*'Assumptions data'!$J6*'National data'!$N7*'National data'!$O7*$J6</f>
        <v>169170041.96619141</v>
      </c>
      <c r="X6" s="313">
        <f>'Demand calc &gt;&gt;&gt;'!$I5*'Assumptions data'!$E6*'National data'!$E7*'National data'!$F7*$D6</f>
        <v>8122452.1770298388</v>
      </c>
      <c r="Y6" s="313">
        <f>'Demand calc &gt;&gt;&gt;'!$I5*'Assumptions data'!$G6*'National data'!$H7*'National data'!$I7*$F6</f>
        <v>11031125.807112832</v>
      </c>
      <c r="Z6" s="313">
        <f>'Demand calc &gt;&gt;&gt;'!$I5*'Assumptions data'!$I6*'National data'!$K7*'National data'!$L7*$H6</f>
        <v>6794624.223245075</v>
      </c>
      <c r="AA6" s="197">
        <f>'Demand calc &gt;&gt;&gt;'!$I5*'Assumptions data'!$J6*'National data'!$N7*'National data'!$O7*$J6</f>
        <v>8224019.1031448906</v>
      </c>
      <c r="AB6" s="313">
        <f>'Demand calc &gt;&gt;&gt;'!$J5*'Assumptions data'!$E6*'National data'!$E7*'National data'!$F7*D6</f>
        <v>176906984.98996678</v>
      </c>
      <c r="AC6" s="313">
        <f>'Demand calc &gt;&gt;&gt;'!J5*'Assumptions data'!$G6*'National data'!$H7*'National data'!$I7*$F6</f>
        <v>240257888.26434797</v>
      </c>
      <c r="AD6" s="313">
        <f>'Demand calc &gt;&gt;&gt;'!J5*'Assumptions data'!$I6*'National data'!$K7*'National data'!$L7*$H6</f>
        <v>147986895.98608708</v>
      </c>
      <c r="AE6" s="197">
        <f>'Demand calc &gt;&gt;&gt;'!J5*'Assumptions data'!$J6*'National data'!$N7*'National data'!$O7*$J6</f>
        <v>179119112.34782618</v>
      </c>
      <c r="AF6" s="313">
        <f>'Demand calc &gt;&gt;&gt;'!$K5*'Assumptions data'!$E6*'National data'!$E7*'National data'!$F7*D6</f>
        <v>123460164.03440334</v>
      </c>
      <c r="AG6" s="313">
        <f>'Demand calc &gt;&gt;&gt;'!$K5*'Assumptions data'!$G6*'National data'!$H7*'National data'!$I7*$F6</f>
        <v>167671606.05534053</v>
      </c>
      <c r="AH6" s="313">
        <f>'Demand calc &gt;&gt;&gt;'!K5*'Assumptions data'!$I6*'National data'!$K7*'National data'!$L7*$H6</f>
        <v>103277360.44125505</v>
      </c>
      <c r="AI6" s="197">
        <f>'Demand calc &gt;&gt;&gt;'!K5*'Assumptions data'!$J6*'National data'!$N7*'National data'!$O7*$J6</f>
        <v>125003967.44319358</v>
      </c>
      <c r="AJ6" s="313">
        <f>'Demand calc &gt;&gt;&gt;'!L5*'Assumptions data'!$E6*'National data'!$E7*'National data'!$F7*D6</f>
        <v>44459349.634566858</v>
      </c>
      <c r="AK6" s="313">
        <f>'Demand calc &gt;&gt;&gt;'!L5*'Assumptions data'!$G6*'National data'!$H7*'National data'!$I7*$F6</f>
        <v>60380371.399202533</v>
      </c>
      <c r="AL6" s="313">
        <f>'Demand calc &gt;&gt;&gt;'!L5*'Assumptions data'!$I6*'National data'!$K7*'National data'!$L7*$H6</f>
        <v>37191302.256114267</v>
      </c>
      <c r="AM6" s="197">
        <f>'Demand calc &gt;&gt;&gt;'!L5*'Assumptions data'!$J6*'National data'!$N7*'National data'!$O7*$J6</f>
        <v>45015290.055149116</v>
      </c>
      <c r="AN6" s="313">
        <f>'Demand calc &gt;&gt;&gt;'!M5*'Assumptions data'!$E6*'National data'!$E7*'National data'!$F7*D6</f>
        <v>35286306.540231675</v>
      </c>
      <c r="AO6" s="313">
        <f>'Demand calc &gt;&gt;&gt;'!M5*'Assumptions data'!$G6*'National data'!$H7*'National data'!$I7*$F6</f>
        <v>47922435.027002066</v>
      </c>
      <c r="AP6" s="313">
        <f>'Demand calc &gt;&gt;&gt;'!M5*'Assumptions data'!$I6*'National data'!$K7*'National data'!$L7*$H6</f>
        <v>29517833.770094536</v>
      </c>
      <c r="AQ6" s="197">
        <f>'Demand calc &gt;&gt;&gt;'!M5*'Assumptions data'!$J6*'National data'!$N7*'National data'!$O7*$J6</f>
        <v>35727542.956418894</v>
      </c>
      <c r="AR6" s="313">
        <f>'Demand calc &gt;&gt;&gt;'!N5*'Assumptions data'!$E6*'National data'!$E7*'National data'!$F7*D6</f>
        <v>2243351.4031520681</v>
      </c>
      <c r="AS6" s="313">
        <f>'Demand calc &gt;&gt;&gt;'!N5*'Assumptions data'!$G6*'National data'!$H7*'National data'!$I7*$F6</f>
        <v>3046702.0326345293</v>
      </c>
      <c r="AT6" s="313">
        <f>'Demand calc &gt;&gt;&gt;'!N5*'Assumptions data'!$I6*'National data'!$K7*'National data'!$L7*$H6</f>
        <v>1876616.7473677543</v>
      </c>
      <c r="AU6" s="197">
        <f>'Demand calc &gt;&gt;&gt;'!N5*'Assumptions data'!$J6*'National data'!$N7*'National data'!$O7*$J6</f>
        <v>2271403.3142311387</v>
      </c>
      <c r="AV6" s="313">
        <f>'Demand calc &gt;&gt;&gt;'!O5*'Assumptions data'!$E6*'National data'!$E7*'National data'!$F7*D6</f>
        <v>163377323.78940007</v>
      </c>
      <c r="AW6" s="313">
        <f>'Demand calc &gt;&gt;&gt;'!O5*'Assumptions data'!$G6*'National data'!$H7*'National data'!$I7*$F6</f>
        <v>221883216.23449796</v>
      </c>
      <c r="AX6" s="313">
        <f>'Demand calc &gt;&gt;&gt;'!O5*'Assumptions data'!$I6*'National data'!$K7*'National data'!$L7*$H6</f>
        <v>136669012.94755802</v>
      </c>
      <c r="AY6" s="197">
        <f>'Demand calc &gt;&gt;&gt;'!O5*'Assumptions data'!$J6*'National data'!$N7*'National data'!$O7*$J6</f>
        <v>165420269.96039999</v>
      </c>
    </row>
    <row r="7" spans="1:51">
      <c r="A7" s="9">
        <v>5</v>
      </c>
      <c r="B7" s="1" t="s">
        <v>332</v>
      </c>
      <c r="C7" s="1" t="s">
        <v>333</v>
      </c>
      <c r="D7" s="301">
        <f t="shared" si="0"/>
        <v>8.7468750000000046</v>
      </c>
      <c r="E7" s="313">
        <f>'Demand calc &gt;&gt;&gt;'!$E6*'Assumptions data'!$E7*'National data'!$E8*'National data'!$F8*D7</f>
        <v>4567668770.6511297</v>
      </c>
      <c r="F7" s="301">
        <f t="shared" si="1"/>
        <v>97.47</v>
      </c>
      <c r="G7" s="313">
        <f>'Demand calc &gt;&gt;&gt;'!E6*'Assumptions data'!$G7*'National data'!$H8*'National data'!$I8*$F7</f>
        <v>6203364175.7553568</v>
      </c>
      <c r="H7" s="301">
        <f t="shared" si="3"/>
        <v>45.027500000000003</v>
      </c>
      <c r="I7" s="313">
        <f>'Demand calc &gt;&gt;&gt;'!E6*'Assumptions data'!$I7*'National data'!$K8*'National data'!$L8*$H7</f>
        <v>3820963447.540432</v>
      </c>
      <c r="J7" s="323">
        <f t="shared" si="2"/>
        <v>31.142857142857142</v>
      </c>
      <c r="K7" s="197">
        <f>'Demand calc &gt;&gt;&gt;'!E6*'Assumptions data'!$J7*'National data'!$N8*'National data'!$O8*J7</f>
        <v>4624785028.9479427</v>
      </c>
      <c r="L7" s="313">
        <f>'Demand calc &gt;&gt;&gt;'!$F6*'Assumptions data'!$E7*'National data'!$E8*'National data'!$F8*$D7</f>
        <v>1493538537.1773169</v>
      </c>
      <c r="M7" s="313">
        <f>'Demand calc &gt;&gt;&gt;'!$F6*'Assumptions data'!$G7*'National data'!$H8*'National data'!$I8*$F7</f>
        <v>2028379009.4777582</v>
      </c>
      <c r="N7" s="313">
        <f>'Demand calc &gt;&gt;&gt;'!$F6*'Assumptions data'!$I7*'National data'!$K8*'National data'!$L8*$H7</f>
        <v>1249380470.5620162</v>
      </c>
      <c r="O7" s="197">
        <f>'Demand calc &gt;&gt;&gt;'!$F6*'Assumptions data'!$J7*'National data'!$N8*'National data'!$O8*$J7</f>
        <v>1512214438.8569176</v>
      </c>
      <c r="P7" s="313">
        <f>'Demand calc &gt;&gt;&gt;'!$G6*'Assumptions data'!$E7*'National data'!$E8*'National data'!$F8*$D7</f>
        <v>528077058.07177085</v>
      </c>
      <c r="Q7" s="313">
        <f>'Demand calc &gt;&gt;&gt;'!$G6*'Assumptions data'!$G7*'National data'!$H8*'National data'!$I8*$F7</f>
        <v>717182980.76454568</v>
      </c>
      <c r="R7" s="313">
        <f>'Demand calc &gt;&gt;&gt;'!$G6*'Assumptions data'!$I7*'National data'!$K8*'National data'!$L8*$H7</f>
        <v>441749005.38799065</v>
      </c>
      <c r="S7" s="197">
        <f>'Demand calc &gt;&gt;&gt;'!$G6*'Assumptions data'!$J7*'National data'!$N8*'National data'!$O8*$J7</f>
        <v>534680379.6267944</v>
      </c>
      <c r="T7" s="313">
        <f>'Demand calc &gt;&gt;&gt;'!$H6*'Assumptions data'!$E7*'National data'!$E8*'National data'!$F8*$D7</f>
        <v>2599878691.6082768</v>
      </c>
      <c r="U7" s="313">
        <f>'Demand calc &gt;&gt;&gt;'!$H6*'Assumptions data'!$G7*'National data'!$H8*'National data'!$I8*$F7</f>
        <v>3530902774.8379006</v>
      </c>
      <c r="V7" s="313">
        <f>'Demand calc &gt;&gt;&gt;'!$H6*'Assumptions data'!$I7*'National data'!$K8*'National data'!$L8*$H7</f>
        <v>2174860294.7096691</v>
      </c>
      <c r="W7" s="197">
        <f>'Demand calc &gt;&gt;&gt;'!$H6*'Assumptions data'!$J7*'National data'!$N8*'National data'!$O8*$J7</f>
        <v>2632388786.0013757</v>
      </c>
      <c r="X7" s="313">
        <f>'Demand calc &gt;&gt;&gt;'!$I6*'Assumptions data'!$E7*'National data'!$E8*'National data'!$F8*$D7</f>
        <v>26978870.144599997</v>
      </c>
      <c r="Y7" s="313">
        <f>'Demand calc &gt;&gt;&gt;'!$I6*'Assumptions data'!$G7*'National data'!$H8*'National data'!$I8*$F7</f>
        <v>36640081.617281973</v>
      </c>
      <c r="Z7" s="313">
        <f>'Demand calc &gt;&gt;&gt;'!$I6*'Assumptions data'!$I7*'National data'!$K8*'National data'!$L8*$H7</f>
        <v>22568465.853044208</v>
      </c>
      <c r="AA7" s="197">
        <f>'Demand calc &gt;&gt;&gt;'!$I6*'Assumptions data'!$J7*'National data'!$N8*'National data'!$O8*$J7</f>
        <v>27316226.5058222</v>
      </c>
      <c r="AB7" s="313">
        <f>'Demand calc &gt;&gt;&gt;'!$J6*'Assumptions data'!$E7*'National data'!$E8*'National data'!$F8*D7</f>
        <v>1127177248.8993378</v>
      </c>
      <c r="AC7" s="313">
        <f>'Demand calc &gt;&gt;&gt;'!J6*'Assumptions data'!$G7*'National data'!$H8*'National data'!$I8*$F7</f>
        <v>1530822683.6579196</v>
      </c>
      <c r="AD7" s="313">
        <f>'Demand calc &gt;&gt;&gt;'!J6*'Assumptions data'!$I7*'National data'!$K8*'National data'!$L8*$H7</f>
        <v>942910548.72825134</v>
      </c>
      <c r="AE7" s="197">
        <f>'Demand calc &gt;&gt;&gt;'!J6*'Assumptions data'!$J7*'National data'!$N8*'National data'!$O8*$J7</f>
        <v>1141271998.3496683</v>
      </c>
      <c r="AF7" s="313">
        <f>'Demand calc &gt;&gt;&gt;'!$K6*'Assumptions data'!$E7*'National data'!$E8*'National data'!$F8*D7</f>
        <v>1206596118.7939608</v>
      </c>
      <c r="AG7" s="313">
        <f>'Demand calc &gt;&gt;&gt;'!$K6*'Assumptions data'!$G7*'National data'!$H8*'National data'!$I8*$F7</f>
        <v>1638681680.691334</v>
      </c>
      <c r="AH7" s="313">
        <f>'Demand calc &gt;&gt;&gt;'!K6*'Assumptions data'!$I7*'National data'!$K8*'National data'!$L8*$H7</f>
        <v>1009346320.2671462</v>
      </c>
      <c r="AI7" s="197">
        <f>'Demand calc &gt;&gt;&gt;'!K6*'Assumptions data'!$J7*'National data'!$N8*'National data'!$O8*$J7</f>
        <v>1221683958.79317</v>
      </c>
      <c r="AJ7" s="313">
        <f>'Demand calc &gt;&gt;&gt;'!L6*'Assumptions data'!$E7*'National data'!$E8*'National data'!$F8*D7</f>
        <v>167992928.21601662</v>
      </c>
      <c r="AK7" s="313">
        <f>'Demand calc &gt;&gt;&gt;'!L6*'Assumptions data'!$G7*'National data'!$H8*'National data'!$I8*$F7</f>
        <v>228151681.96334049</v>
      </c>
      <c r="AL7" s="313">
        <f>'Demand calc &gt;&gt;&gt;'!L6*'Assumptions data'!$I7*'National data'!$K8*'National data'!$L8*$H7</f>
        <v>140530075.71019208</v>
      </c>
      <c r="AM7" s="197">
        <f>'Demand calc &gt;&gt;&gt;'!L6*'Assumptions data'!$J7*'National data'!$N8*'National data'!$O8*$J7</f>
        <v>170093590.0550878</v>
      </c>
      <c r="AN7" s="313">
        <f>'Demand calc &gt;&gt;&gt;'!M6*'Assumptions data'!$E7*'National data'!$E8*'National data'!$F8*D7</f>
        <v>420059126.27584505</v>
      </c>
      <c r="AO7" s="313">
        <f>'Demand calc &gt;&gt;&gt;'!M6*'Assumptions data'!$G7*'National data'!$H8*'National data'!$I8*$F7</f>
        <v>570483515.0004133</v>
      </c>
      <c r="AP7" s="313">
        <f>'Demand calc &gt;&gt;&gt;'!M6*'Assumptions data'!$I7*'National data'!$K8*'National data'!$L8*$H7</f>
        <v>351389439.09826773</v>
      </c>
      <c r="AQ7" s="197">
        <f>'Demand calc &gt;&gt;&gt;'!M6*'Assumptions data'!$J7*'National data'!$N8*'National data'!$O8*$J7</f>
        <v>425311741.28822577</v>
      </c>
      <c r="AR7" s="313">
        <f>'Demand calc &gt;&gt;&gt;'!N6*'Assumptions data'!$E7*'National data'!$E8*'National data'!$F8*D7</f>
        <v>8497224.4548266791</v>
      </c>
      <c r="AS7" s="313">
        <f>'Demand calc &gt;&gt;&gt;'!N6*'Assumptions data'!$G7*'National data'!$H8*'National data'!$I8*$F7</f>
        <v>11540105.122138722</v>
      </c>
      <c r="AT7" s="313">
        <f>'Demand calc &gt;&gt;&gt;'!N6*'Assumptions data'!$I7*'National data'!$K8*'National data'!$L8*$H7</f>
        <v>7108130.1376437377</v>
      </c>
      <c r="AU7" s="197">
        <f>'Demand calc &gt;&gt;&gt;'!N6*'Assumptions data'!$J7*'National data'!$N8*'National data'!$O8*$J7</f>
        <v>8603477.7081024647</v>
      </c>
      <c r="AV7" s="313">
        <f>'Demand calc &gt;&gt;&gt;'!O6*'Assumptions data'!$E7*'National data'!$E8*'National data'!$F8*D7</f>
        <v>1258196398.5618007</v>
      </c>
      <c r="AW7" s="313">
        <f>'Demand calc &gt;&gt;&gt;'!O6*'Assumptions data'!$G7*'National data'!$H8*'National data'!$I8*$F7</f>
        <v>1708760169.9696057</v>
      </c>
      <c r="AX7" s="313">
        <f>'Demand calc &gt;&gt;&gt;'!O6*'Assumptions data'!$I7*'National data'!$K8*'National data'!$L8*$H7</f>
        <v>1052511180.237426</v>
      </c>
      <c r="AY7" s="197">
        <f>'Demand calc &gt;&gt;&gt;'!O6*'Assumptions data'!$J7*'National data'!$N8*'National data'!$O8*$J7</f>
        <v>1273929472.4987998</v>
      </c>
    </row>
    <row r="8" spans="1:51">
      <c r="A8" s="9">
        <v>6</v>
      </c>
      <c r="B8" s="1" t="s">
        <v>337</v>
      </c>
      <c r="C8" s="1" t="s">
        <v>338</v>
      </c>
      <c r="D8" s="301">
        <f t="shared" si="0"/>
        <v>8.7468750000000046</v>
      </c>
      <c r="E8" s="313">
        <f>'Demand calc &gt;&gt;&gt;'!$E7*'Assumptions data'!$E8*'National data'!$E9*'National data'!$F9*D8</f>
        <v>765657509.54743671</v>
      </c>
      <c r="F8" s="301">
        <f t="shared" si="1"/>
        <v>97.47</v>
      </c>
      <c r="G8" s="313">
        <f>'Demand calc &gt;&gt;&gt;'!E7*'Assumptions data'!$G8*'National data'!$H9*'National data'!$I9*$F8</f>
        <v>1039841679.4455004</v>
      </c>
      <c r="H8" s="301">
        <f t="shared" si="3"/>
        <v>45.027500000000003</v>
      </c>
      <c r="I8" s="313">
        <f>'Demand calc &gt;&gt;&gt;'!E7*'Assumptions data'!$I8*'National data'!$K9*'National data'!$L9*$H8</f>
        <v>640490697.59901893</v>
      </c>
      <c r="J8" s="323">
        <f t="shared" si="2"/>
        <v>31.142857142857142</v>
      </c>
      <c r="K8" s="197">
        <f>'Demand calc &gt;&gt;&gt;'!E7*'Assumptions data'!$J8*'National data'!$N9*'National data'!$O9*J8</f>
        <v>775231647.75185227</v>
      </c>
      <c r="L8" s="313">
        <f>'Demand calc &gt;&gt;&gt;'!$F7*'Assumptions data'!$E8*'National data'!$E9*'National data'!$F9*$D8</f>
        <v>164909804.47397059</v>
      </c>
      <c r="M8" s="313">
        <f>'Demand calc &gt;&gt;&gt;'!$F7*'Assumptions data'!$G8*'National data'!$H9*'National data'!$I9*$F8</f>
        <v>223964482.68704468</v>
      </c>
      <c r="N8" s="313">
        <f>'Demand calc &gt;&gt;&gt;'!$F7*'Assumptions data'!$I8*'National data'!$K9*'National data'!$L9*$H8</f>
        <v>137950969.44962084</v>
      </c>
      <c r="O8" s="197">
        <f>'Demand calc &gt;&gt;&gt;'!$F7*'Assumptions data'!$J8*'National data'!$N9*'National data'!$O9*$J8</f>
        <v>166971913.49740344</v>
      </c>
      <c r="P8" s="313">
        <f>'Demand calc &gt;&gt;&gt;'!$G7*'Assumptions data'!$E8*'National data'!$E9*'National data'!$F9*$D8</f>
        <v>98176807.498244032</v>
      </c>
      <c r="Q8" s="313">
        <f>'Demand calc &gt;&gt;&gt;'!$G7*'Assumptions data'!$G8*'National data'!$H9*'National data'!$I9*$F8</f>
        <v>133334206.37631287</v>
      </c>
      <c r="R8" s="313">
        <f>'Demand calc &gt;&gt;&gt;'!$G7*'Assumptions data'!$I8*'National data'!$K9*'National data'!$L9*$H8</f>
        <v>82127232.004506394</v>
      </c>
      <c r="S8" s="197">
        <f>'Demand calc &gt;&gt;&gt;'!$G7*'Assumptions data'!$J8*'National data'!$N9*'National data'!$O9*$J8</f>
        <v>99404456.03787902</v>
      </c>
      <c r="T8" s="313">
        <f>'Demand calc &gt;&gt;&gt;'!$H7*'Assumptions data'!$E8*'National data'!$E9*'National data'!$F9*$D8</f>
        <v>456967952.20572644</v>
      </c>
      <c r="U8" s="313">
        <f>'Demand calc &gt;&gt;&gt;'!$H7*'Assumptions data'!$G8*'National data'!$H9*'National data'!$I9*$F8</f>
        <v>620609498.30589235</v>
      </c>
      <c r="V8" s="313">
        <f>'Demand calc &gt;&gt;&gt;'!$H7*'Assumptions data'!$I8*'National data'!$K9*'National data'!$L9*$H8</f>
        <v>382264548.88640714</v>
      </c>
      <c r="W8" s="197">
        <f>'Demand calc &gt;&gt;&gt;'!$H7*'Assumptions data'!$J8*'National data'!$N9*'National data'!$O9*$J8</f>
        <v>462682092.37264305</v>
      </c>
      <c r="X8" s="313">
        <f>'Demand calc &gt;&gt;&gt;'!$I7*'Assumptions data'!$E8*'National data'!$E9*'National data'!$F9*$D8</f>
        <v>20493911.510167863</v>
      </c>
      <c r="Y8" s="313">
        <f>'Demand calc &gt;&gt;&gt;'!$I7*'Assumptions data'!$G8*'National data'!$H9*'National data'!$I9*$F8</f>
        <v>27832840.529098377</v>
      </c>
      <c r="Z8" s="313">
        <f>'Demand calc &gt;&gt;&gt;'!$I7*'Assumptions data'!$I8*'National data'!$K9*'National data'!$L9*$H8</f>
        <v>17143643.882548168</v>
      </c>
      <c r="AA8" s="197">
        <f>'Demand calc &gt;&gt;&gt;'!$I7*'Assumptions data'!$J8*'National data'!$N9*'National data'!$O9*$J8</f>
        <v>20750176.927408248</v>
      </c>
      <c r="AB8" s="313">
        <f>'Demand calc &gt;&gt;&gt;'!$J7*'Assumptions data'!$E8*'National data'!$E9*'National data'!$F9*D8</f>
        <v>146244995.68991607</v>
      </c>
      <c r="AC8" s="313">
        <f>'Demand calc &gt;&gt;&gt;'!J7*'Assumptions data'!$G8*'National data'!$H9*'National data'!$I9*$F8</f>
        <v>198615751.86350423</v>
      </c>
      <c r="AD8" s="313">
        <f>'Demand calc &gt;&gt;&gt;'!J7*'Assumptions data'!$I8*'National data'!$K9*'National data'!$L9*$H8</f>
        <v>122337413.4541765</v>
      </c>
      <c r="AE8" s="197">
        <f>'Demand calc &gt;&gt;&gt;'!J7*'Assumptions data'!$J8*'National data'!$N9*'National data'!$O9*$J8</f>
        <v>148073711.24873948</v>
      </c>
      <c r="AF8" s="313">
        <f>'Demand calc &gt;&gt;&gt;'!$K7*'Assumptions data'!$E8*'National data'!$E9*'National data'!$F9*D8</f>
        <v>122329141.65440241</v>
      </c>
      <c r="AG8" s="313">
        <f>'Demand calc &gt;&gt;&gt;'!$K7*'Assumptions data'!$G8*'National data'!$H9*'National data'!$I9*$F8</f>
        <v>166135561.28800616</v>
      </c>
      <c r="AH8" s="313">
        <f>'Demand calc &gt;&gt;&gt;'!K7*'Assumptions data'!$I8*'National data'!$K9*'National data'!$L9*$H8</f>
        <v>102331233.34900582</v>
      </c>
      <c r="AI8" s="197">
        <f>'Demand calc &gt;&gt;&gt;'!K7*'Assumptions data'!$J8*'National data'!$N9*'National data'!$O9*$J8</f>
        <v>123858802.23243164</v>
      </c>
      <c r="AJ8" s="313">
        <f>'Demand calc &gt;&gt;&gt;'!L7*'Assumptions data'!$E8*'National data'!$E9*'National data'!$F9*D8</f>
        <v>21654370.025062464</v>
      </c>
      <c r="AK8" s="313">
        <f>'Demand calc &gt;&gt;&gt;'!L7*'Assumptions data'!$G8*'National data'!$H9*'National data'!$I9*$F8</f>
        <v>29408862.596416809</v>
      </c>
      <c r="AL8" s="313">
        <f>'Demand calc &gt;&gt;&gt;'!L7*'Assumptions data'!$I8*'National data'!$K9*'National data'!$L9*$H8</f>
        <v>18114395.000993919</v>
      </c>
      <c r="AM8" s="197">
        <f>'Demand calc &gt;&gt;&gt;'!L7*'Assumptions data'!$J8*'National data'!$N9*'National data'!$O9*$J8</f>
        <v>21925146.356208287</v>
      </c>
      <c r="AN8" s="313">
        <f>'Demand calc &gt;&gt;&gt;'!M7*'Assumptions data'!$E8*'National data'!$E9*'National data'!$F9*D8</f>
        <v>40066761.771731861</v>
      </c>
      <c r="AO8" s="313">
        <f>'Demand calc &gt;&gt;&gt;'!M7*'Assumptions data'!$G8*'National data'!$H9*'National data'!$I9*$F8</f>
        <v>54414785.111017279</v>
      </c>
      <c r="AP8" s="313">
        <f>'Demand calc &gt;&gt;&gt;'!M7*'Assumptions data'!$I8*'National data'!$K9*'National data'!$L9*$H8</f>
        <v>33516798.14761918</v>
      </c>
      <c r="AQ8" s="197">
        <f>'Demand calc &gt;&gt;&gt;'!M7*'Assumptions data'!$J8*'National data'!$N9*'National data'!$O9*$J8</f>
        <v>40567775.227255456</v>
      </c>
      <c r="AR8" s="313">
        <f>'Demand calc &gt;&gt;&gt;'!N7*'Assumptions data'!$E8*'National data'!$E9*'National data'!$F9*D8</f>
        <v>2445943.4434193475</v>
      </c>
      <c r="AS8" s="313">
        <f>'Demand calc &gt;&gt;&gt;'!N7*'Assumptions data'!$G8*'National data'!$H9*'National data'!$I9*$F8</f>
        <v>3321842.8688007374</v>
      </c>
      <c r="AT8" s="313">
        <f>'Demand calc &gt;&gt;&gt;'!N7*'Assumptions data'!$I8*'National data'!$K9*'National data'!$L9*$H8</f>
        <v>2046089.8023313184</v>
      </c>
      <c r="AU8" s="197">
        <f>'Demand calc &gt;&gt;&gt;'!N7*'Assumptions data'!$J8*'National data'!$N9*'National data'!$O9*$J8</f>
        <v>2476528.659753636</v>
      </c>
      <c r="AV8" s="313">
        <f>'Demand calc &gt;&gt;&gt;'!O7*'Assumptions data'!$E8*'National data'!$E9*'National data'!$F9*D8</f>
        <v>165082726.77930009</v>
      </c>
      <c r="AW8" s="313">
        <f>'Demand calc &gt;&gt;&gt;'!O7*'Assumptions data'!$G8*'National data'!$H9*'National data'!$I9*$F8</f>
        <v>224199328.97033098</v>
      </c>
      <c r="AX8" s="313">
        <f>'Demand calc &gt;&gt;&gt;'!O7*'Assumptions data'!$I8*'National data'!$K9*'National data'!$L9*$H8</f>
        <v>138095623.06640103</v>
      </c>
      <c r="AY8" s="197">
        <f>'Demand calc &gt;&gt;&gt;'!O7*'Assumptions data'!$J8*'National data'!$N9*'National data'!$O9*$J8</f>
        <v>167146998.1038</v>
      </c>
    </row>
    <row r="9" spans="1:51">
      <c r="A9" s="9">
        <v>7</v>
      </c>
      <c r="B9" s="1" t="s">
        <v>342</v>
      </c>
      <c r="C9" s="1" t="s">
        <v>343</v>
      </c>
      <c r="D9" s="301">
        <f t="shared" si="0"/>
        <v>8.7468750000000046</v>
      </c>
      <c r="E9" s="313">
        <f>'Demand calc &gt;&gt;&gt;'!$E8*'Assumptions data'!$E9*'National data'!$E10*'National data'!$F10*D9</f>
        <v>435805735.27976686</v>
      </c>
      <c r="F9" s="301">
        <f t="shared" si="1"/>
        <v>97.47</v>
      </c>
      <c r="G9" s="313">
        <f>'Demand calc &gt;&gt;&gt;'!E8*'Assumptions data'!$G9*'National data'!$H10*'National data'!$I10*$F9</f>
        <v>591869030.2576046</v>
      </c>
      <c r="H9" s="301">
        <f t="shared" si="3"/>
        <v>45.027500000000003</v>
      </c>
      <c r="I9" s="313">
        <f>'Demand calc &gt;&gt;&gt;'!E8*'Assumptions data'!$I9*'National data'!$K10*'National data'!$L10*$H9</f>
        <v>364561851.64562482</v>
      </c>
      <c r="J9" s="323">
        <f t="shared" si="2"/>
        <v>31.142857142857142</v>
      </c>
      <c r="K9" s="197">
        <f>'Demand calc &gt;&gt;&gt;'!E8*'Assumptions data'!$J9*'National data'!$N10*'National data'!$O10*J9</f>
        <v>441255253.22717339</v>
      </c>
      <c r="L9" s="313">
        <f>'Demand calc &gt;&gt;&gt;'!$F8*'Assumptions data'!$E9*'National data'!$E10*'National data'!$F10*$D9</f>
        <v>130855271.11851197</v>
      </c>
      <c r="M9" s="313">
        <f>'Demand calc &gt;&gt;&gt;'!$F8*'Assumptions data'!$G9*'National data'!$H10*'National data'!$I10*$F9</f>
        <v>177714922.38689992</v>
      </c>
      <c r="N9" s="313">
        <f>'Demand calc &gt;&gt;&gt;'!$F8*'Assumptions data'!$I9*'National data'!$K10*'National data'!$L10*$H9</f>
        <v>109463543.21365394</v>
      </c>
      <c r="O9" s="197">
        <f>'Demand calc &gt;&gt;&gt;'!$F8*'Assumptions data'!$J9*'National data'!$N10*'National data'!$O10*$J9</f>
        <v>132491546.39151938</v>
      </c>
      <c r="P9" s="313">
        <f>'Demand calc &gt;&gt;&gt;'!$G8*'Assumptions data'!$E9*'National data'!$E10*'National data'!$F10*$D9</f>
        <v>62759355.708104387</v>
      </c>
      <c r="Q9" s="313">
        <f>'Demand calc &gt;&gt;&gt;'!$G8*'Assumptions data'!$G9*'National data'!$H10*'National data'!$I10*$F9</f>
        <v>85233662.605890781</v>
      </c>
      <c r="R9" s="313">
        <f>'Demand calc &gt;&gt;&gt;'!$G8*'Assumptions data'!$I9*'National data'!$K10*'National data'!$L10*$H9</f>
        <v>52499692.11705137</v>
      </c>
      <c r="S9" s="197">
        <f>'Demand calc &gt;&gt;&gt;'!$G8*'Assumptions data'!$J9*'National data'!$N10*'National data'!$O10*$J9</f>
        <v>63544127.930249274</v>
      </c>
      <c r="T9" s="313">
        <f>'Demand calc &gt;&gt;&gt;'!$H8*'Assumptions data'!$E9*'National data'!$E10*'National data'!$F10*$D9</f>
        <v>231024776.12707174</v>
      </c>
      <c r="U9" s="313">
        <f>'Demand calc &gt;&gt;&gt;'!$H8*'Assumptions data'!$G9*'National data'!$H10*'National data'!$I10*$F9</f>
        <v>313755417.01862127</v>
      </c>
      <c r="V9" s="313">
        <f>'Demand calc &gt;&gt;&gt;'!$H8*'Assumptions data'!$I9*'National data'!$K10*'National data'!$L10*$H9</f>
        <v>193257714.02901366</v>
      </c>
      <c r="W9" s="197">
        <f>'Demand calc &gt;&gt;&gt;'!$H8*'Assumptions data'!$J9*'National data'!$N10*'National data'!$O10*$J9</f>
        <v>233913617.55774236</v>
      </c>
      <c r="X9" s="313">
        <f>'Demand calc &gt;&gt;&gt;'!$I8*'Assumptions data'!$E9*'National data'!$E10*'National data'!$F10*$D9</f>
        <v>2907919.5485711526</v>
      </c>
      <c r="Y9" s="313">
        <f>'Demand calc &gt;&gt;&gt;'!$I8*'Assumptions data'!$G9*'National data'!$H10*'National data'!$I10*$F9</f>
        <v>3949253.9541157465</v>
      </c>
      <c r="Z9" s="313">
        <f>'Demand calc &gt;&gt;&gt;'!$I8*'Assumptions data'!$I9*'National data'!$K10*'National data'!$L10*$H9</f>
        <v>2432543.7901432482</v>
      </c>
      <c r="AA9" s="197">
        <f>'Demand calc &gt;&gt;&gt;'!$I8*'Assumptions data'!$J9*'National data'!$N10*'National data'!$O10*$J9</f>
        <v>2944281.5293499972</v>
      </c>
      <c r="AB9" s="313">
        <f>'Demand calc &gt;&gt;&gt;'!$J8*'Assumptions data'!$E9*'National data'!$E10*'National data'!$F10*D9</f>
        <v>88952151.731707379</v>
      </c>
      <c r="AC9" s="313">
        <f>'Demand calc &gt;&gt;&gt;'!J8*'Assumptions data'!$G9*'National data'!$H10*'National data'!$I10*$F9</f>
        <v>120806174.68463418</v>
      </c>
      <c r="AD9" s="313">
        <f>'Demand calc &gt;&gt;&gt;'!J8*'Assumptions data'!$I9*'National data'!$K10*'National data'!$L10*$H9</f>
        <v>74410588.291951239</v>
      </c>
      <c r="AE9" s="197">
        <f>'Demand calc &gt;&gt;&gt;'!J8*'Assumptions data'!$J9*'National data'!$N10*'National data'!$O10*$J9</f>
        <v>90064450.878048807</v>
      </c>
      <c r="AF9" s="313">
        <f>'Demand calc &gt;&gt;&gt;'!$K8*'Assumptions data'!$E9*'National data'!$E10*'National data'!$F10*D9</f>
        <v>94509321.796584234</v>
      </c>
      <c r="AG9" s="313">
        <f>'Demand calc &gt;&gt;&gt;'!$K8*'Assumptions data'!$G9*'National data'!$H10*'National data'!$I10*$F9</f>
        <v>128353383.43158604</v>
      </c>
      <c r="AH9" s="313">
        <f>'Demand calc &gt;&gt;&gt;'!K8*'Assumptions data'!$I9*'National data'!$K10*'National data'!$L10*$H9</f>
        <v>79059293.081163317</v>
      </c>
      <c r="AI9" s="197">
        <f>'Demand calc &gt;&gt;&gt;'!K8*'Assumptions data'!$J9*'National data'!$N10*'National data'!$O10*$J9</f>
        <v>95691110.386394978</v>
      </c>
      <c r="AJ9" s="313">
        <f>'Demand calc &gt;&gt;&gt;'!L8*'Assumptions data'!$E9*'National data'!$E10*'National data'!$F10*D9</f>
        <v>17223266.733473469</v>
      </c>
      <c r="AK9" s="313">
        <f>'Demand calc &gt;&gt;&gt;'!L8*'Assumptions data'!$G9*'National data'!$H10*'National data'!$I10*$F9</f>
        <v>23390968.392981298</v>
      </c>
      <c r="AL9" s="313">
        <f>'Demand calc &gt;&gt;&gt;'!L8*'Assumptions data'!$I9*'National data'!$K10*'National data'!$L10*$H9</f>
        <v>14407671.821277872</v>
      </c>
      <c r="AM9" s="197">
        <f>'Demand calc &gt;&gt;&gt;'!L8*'Assumptions data'!$J9*'National data'!$N10*'National data'!$O10*$J9</f>
        <v>17438634.484695882</v>
      </c>
      <c r="AN9" s="313">
        <f>'Demand calc &gt;&gt;&gt;'!M8*'Assumptions data'!$E9*'National data'!$E10*'National data'!$F10*D9</f>
        <v>17551233.865403812</v>
      </c>
      <c r="AO9" s="313">
        <f>'Demand calc &gt;&gt;&gt;'!M8*'Assumptions data'!$G9*'National data'!$H10*'National data'!$I10*$F9</f>
        <v>23836381.503956925</v>
      </c>
      <c r="AP9" s="313">
        <f>'Demand calc &gt;&gt;&gt;'!M8*'Assumptions data'!$I9*'National data'!$K10*'National data'!$L10*$H9</f>
        <v>14682024.119139845</v>
      </c>
      <c r="AQ9" s="197">
        <f>'Demand calc &gt;&gt;&gt;'!M8*'Assumptions data'!$J9*'National data'!$N10*'National data'!$O10*$J9</f>
        <v>17770702.670437429</v>
      </c>
      <c r="AR9" s="313">
        <f>'Demand calc &gt;&gt;&gt;'!N8*'Assumptions data'!$E9*'National data'!$E10*'National data'!$F10*D9</f>
        <v>364273.97696552501</v>
      </c>
      <c r="AS9" s="313">
        <f>'Demand calc &gt;&gt;&gt;'!N8*'Assumptions data'!$G9*'National data'!$H10*'National data'!$I10*$F9</f>
        <v>494721.54228594439</v>
      </c>
      <c r="AT9" s="313">
        <f>'Demand calc &gt;&gt;&gt;'!N8*'Assumptions data'!$I9*'National data'!$K10*'National data'!$L10*$H9</f>
        <v>304723.83632954228</v>
      </c>
      <c r="AU9" s="197">
        <f>'Demand calc &gt;&gt;&gt;'!N8*'Assumptions data'!$J9*'National data'!$N10*'National data'!$O10*$J9</f>
        <v>368829.02848170674</v>
      </c>
      <c r="AV9" s="313">
        <f>'Demand calc &gt;&gt;&gt;'!O8*'Assumptions data'!$E9*'National data'!$E10*'National data'!$F10*D9</f>
        <v>106979788.56240007</v>
      </c>
      <c r="AW9" s="313">
        <f>'Demand calc &gt;&gt;&gt;'!O8*'Assumptions data'!$G9*'National data'!$H10*'National data'!$I10*$F9</f>
        <v>145289560.43440801</v>
      </c>
      <c r="AX9" s="313">
        <f>'Demand calc &gt;&gt;&gt;'!O8*'Assumptions data'!$I9*'National data'!$K10*'National data'!$L10*$H9</f>
        <v>89491134.810168013</v>
      </c>
      <c r="AY9" s="197">
        <f>'Demand calc &gt;&gt;&gt;'!O8*'Assumptions data'!$J9*'National data'!$N10*'National data'!$O10*$J9</f>
        <v>108317513.67839999</v>
      </c>
    </row>
    <row r="10" spans="1:51">
      <c r="A10" s="9">
        <v>8</v>
      </c>
      <c r="B10" s="1" t="s">
        <v>348</v>
      </c>
      <c r="C10" s="1" t="s">
        <v>349</v>
      </c>
      <c r="D10" s="301">
        <f t="shared" si="0"/>
        <v>8.7468750000000046</v>
      </c>
      <c r="E10" s="313">
        <f>'Demand calc &gt;&gt;&gt;'!$E9*'Assumptions data'!$E10*'National data'!$E11*'National data'!$F11*D10</f>
        <v>136998915.84936926</v>
      </c>
      <c r="F10" s="301">
        <f t="shared" si="1"/>
        <v>97.47</v>
      </c>
      <c r="G10" s="313">
        <f>'Demand calc &gt;&gt;&gt;'!E9*'Assumptions data'!$G10*'National data'!$H11*'National data'!$I11*$F10</f>
        <v>186058624.07491338</v>
      </c>
      <c r="H10" s="301">
        <f t="shared" si="3"/>
        <v>45.027500000000003</v>
      </c>
      <c r="I10" s="313">
        <f>'Demand calc &gt;&gt;&gt;'!E9*'Assumptions data'!$I10*'National data'!$K11*'National data'!$L11*$H10</f>
        <v>114602847.99470828</v>
      </c>
      <c r="J10" s="323">
        <f t="shared" si="2"/>
        <v>31.142857142857142</v>
      </c>
      <c r="K10" s="197">
        <f>'Demand calc &gt;&gt;&gt;'!E9*'Assumptions data'!$J10*'National data'!$N11*'National data'!$O11*J10</f>
        <v>138712014.11829659</v>
      </c>
      <c r="L10" s="313">
        <f>'Demand calc &gt;&gt;&gt;'!$F9*'Assumptions data'!$E10*'National data'!$E11*'National data'!$F11*$D10</f>
        <v>28730822.390564501</v>
      </c>
      <c r="M10" s="313">
        <f>'Demand calc &gt;&gt;&gt;'!$F9*'Assumptions data'!$G10*'National data'!$H11*'National data'!$I11*$F10</f>
        <v>39019413.032484636</v>
      </c>
      <c r="N10" s="313">
        <f>'Demand calc &gt;&gt;&gt;'!$F9*'Assumptions data'!$I10*'National data'!$K11*'National data'!$L11*$H10</f>
        <v>24034015.530524977</v>
      </c>
      <c r="O10" s="197">
        <f>'Demand calc &gt;&gt;&gt;'!$F9*'Assumptions data'!$J10*'National data'!$N11*'National data'!$O11*$J10</f>
        <v>29090085.978870936</v>
      </c>
      <c r="P10" s="313">
        <f>'Demand calc &gt;&gt;&gt;'!$G9*'Assumptions data'!$E10*'National data'!$E11*'National data'!$F11*$D10</f>
        <v>39693483.75430464</v>
      </c>
      <c r="Q10" s="313">
        <f>'Demand calc &gt;&gt;&gt;'!$G9*'Assumptions data'!$G10*'National data'!$H11*'National data'!$I11*$F10</f>
        <v>53907835.155323602</v>
      </c>
      <c r="R10" s="313">
        <f>'Demand calc &gt;&gt;&gt;'!$G9*'Assumptions data'!$I10*'National data'!$K11*'National data'!$L11*$H10</f>
        <v>33204542.217521071</v>
      </c>
      <c r="S10" s="197">
        <f>'Demand calc &gt;&gt;&gt;'!$G9*'Assumptions data'!$J10*'National data'!$N11*'National data'!$O11*$J10</f>
        <v>40189829.567595318</v>
      </c>
      <c r="T10" s="313">
        <f>'Demand calc &gt;&gt;&gt;'!$H9*'Assumptions data'!$E10*'National data'!$E11*'National data'!$F11*$D10</f>
        <v>73939289.357093349</v>
      </c>
      <c r="U10" s="313">
        <f>'Demand calc &gt;&gt;&gt;'!$H9*'Assumptions data'!$G10*'National data'!$H11*'National data'!$I11*$F10</f>
        <v>100417162.84808841</v>
      </c>
      <c r="V10" s="313">
        <f>'Demand calc &gt;&gt;&gt;'!$H9*'Assumptions data'!$I10*'National data'!$K11*'National data'!$L11*$H10</f>
        <v>61851972.232718475</v>
      </c>
      <c r="W10" s="197">
        <f>'Demand calc &gt;&gt;&gt;'!$H9*'Assumptions data'!$J10*'National data'!$N11*'National data'!$O11*$J10</f>
        <v>74863860.678100199</v>
      </c>
      <c r="X10" s="313">
        <f>'Demand calc &gt;&gt;&gt;'!$I9*'Assumptions data'!$E10*'National data'!$E11*'National data'!$F11*$D10</f>
        <v>1531044.1551600008</v>
      </c>
      <c r="Y10" s="313">
        <f>'Demand calc &gt;&gt;&gt;'!$I9*'Assumptions data'!$G10*'National data'!$H11*'National data'!$I11*$F10</f>
        <v>2079315.4977972</v>
      </c>
      <c r="Z10" s="313">
        <f>'Demand calc &gt;&gt;&gt;'!$I9*'Assumptions data'!$I10*'National data'!$K11*'National data'!$L11*$H10</f>
        <v>1280754.8110812001</v>
      </c>
      <c r="AA10" s="197">
        <f>'Demand calc &gt;&gt;&gt;'!$I9*'Assumptions data'!$J10*'National data'!$N11*'National data'!$O11*$J10</f>
        <v>1550189.0445599998</v>
      </c>
      <c r="AB10" s="313">
        <f>'Demand calc &gt;&gt;&gt;'!$J9*'Assumptions data'!$E10*'National data'!$E11*'National data'!$F11*D10</f>
        <v>30886645.114285719</v>
      </c>
      <c r="AC10" s="313">
        <f>'Demand calc &gt;&gt;&gt;'!J9*'Assumptions data'!$G10*'National data'!$H11*'National data'!$I11*$F10</f>
        <v>41947242.112285689</v>
      </c>
      <c r="AD10" s="313">
        <f>'Demand calc &gt;&gt;&gt;'!J9*'Assumptions data'!$I10*'National data'!$K11*'National data'!$L11*$H10</f>
        <v>25837412.457999997</v>
      </c>
      <c r="AE10" s="197">
        <f>'Demand calc &gt;&gt;&gt;'!J9*'Assumptions data'!$J10*'National data'!$N11*'National data'!$O11*$J10</f>
        <v>31272866.114285704</v>
      </c>
      <c r="AF10" s="313">
        <f>'Demand calc &gt;&gt;&gt;'!$K9*'Assumptions data'!$E10*'National data'!$E11*'National data'!$F11*D10</f>
        <v>23668668.347620893</v>
      </c>
      <c r="AG10" s="313">
        <f>'Demand calc &gt;&gt;&gt;'!$K9*'Assumptions data'!$G10*'National data'!$H11*'National data'!$I11*$F10</f>
        <v>32144486.977442544</v>
      </c>
      <c r="AH10" s="313">
        <f>'Demand calc &gt;&gt;&gt;'!K9*'Assumptions data'!$I10*'National data'!$K11*'National data'!$L11*$H10</f>
        <v>19799403.404490881</v>
      </c>
      <c r="AI10" s="197">
        <f>'Demand calc &gt;&gt;&gt;'!K9*'Assumptions data'!$J10*'National data'!$N11*'National data'!$O11*$J10</f>
        <v>23964632.403414641</v>
      </c>
      <c r="AJ10" s="313">
        <f>'Demand calc &gt;&gt;&gt;'!L9*'Assumptions data'!$E10*'National data'!$E11*'National data'!$F11*D10</f>
        <v>9435133.8693287186</v>
      </c>
      <c r="AK10" s="313">
        <f>'Demand calc &gt;&gt;&gt;'!L9*'Assumptions data'!$G10*'National data'!$H11*'National data'!$I11*$F10</f>
        <v>12813882.61218125</v>
      </c>
      <c r="AL10" s="313">
        <f>'Demand calc &gt;&gt;&gt;'!L9*'Assumptions data'!$I10*'National data'!$K11*'National data'!$L11*$H10</f>
        <v>7892713.6461816123</v>
      </c>
      <c r="AM10" s="197">
        <f>'Demand calc &gt;&gt;&gt;'!L9*'Assumptions data'!$J10*'National data'!$N11*'National data'!$O11*$J10</f>
        <v>9553115.1788773034</v>
      </c>
      <c r="AN10" s="313">
        <f>'Demand calc &gt;&gt;&gt;'!M9*'Assumptions data'!$E10*'National data'!$E11*'National data'!$F11*D10</f>
        <v>10006209.32665691</v>
      </c>
      <c r="AO10" s="313">
        <f>'Demand calc &gt;&gt;&gt;'!M9*'Assumptions data'!$G10*'National data'!$H11*'National data'!$I11*$F10</f>
        <v>13589461.843408607</v>
      </c>
      <c r="AP10" s="313">
        <f>'Demand calc &gt;&gt;&gt;'!M9*'Assumptions data'!$I10*'National data'!$K11*'National data'!$L11*$H10</f>
        <v>8370431.8341244301</v>
      </c>
      <c r="AQ10" s="197">
        <f>'Demand calc &gt;&gt;&gt;'!M9*'Assumptions data'!$J10*'National data'!$N11*'National data'!$O11*$J10</f>
        <v>10131331.629776943</v>
      </c>
      <c r="AR10" s="313">
        <f>'Demand calc &gt;&gt;&gt;'!N9*'Assumptions data'!$E10*'National data'!$E11*'National data'!$F11*D10</f>
        <v>195353.00880857103</v>
      </c>
      <c r="AS10" s="313">
        <f>'Demand calc &gt;&gt;&gt;'!N9*'Assumptions data'!$G10*'National data'!$H11*'National data'!$I11*$F10</f>
        <v>265309.48659317073</v>
      </c>
      <c r="AT10" s="313">
        <f>'Demand calc &gt;&gt;&gt;'!N9*'Assumptions data'!$I10*'National data'!$K11*'National data'!$L11*$H10</f>
        <v>163417.43315993293</v>
      </c>
      <c r="AU10" s="197">
        <f>'Demand calc &gt;&gt;&gt;'!N9*'Assumptions data'!$J10*'National data'!$N11*'National data'!$O11*$J10</f>
        <v>197795.79384190426</v>
      </c>
      <c r="AV10" s="313">
        <f>'Demand calc &gt;&gt;&gt;'!O9*'Assumptions data'!$E10*'National data'!$E11*'National data'!$F11*D10</f>
        <v>33270767.217900023</v>
      </c>
      <c r="AW10" s="313">
        <f>'Demand calc &gt;&gt;&gt;'!O9*'Assumptions data'!$G10*'National data'!$H11*'National data'!$I11*$F10</f>
        <v>45185125.240593001</v>
      </c>
      <c r="AX10" s="313">
        <f>'Demand calc &gt;&gt;&gt;'!O9*'Assumptions data'!$I10*'National data'!$K11*'National data'!$L11*$H10</f>
        <v>27831787.240803007</v>
      </c>
      <c r="AY10" s="197">
        <f>'Demand calc &gt;&gt;&gt;'!O9*'Assumptions data'!$J10*'National data'!$N11*'National data'!$O11*$J10</f>
        <v>33686800.391400002</v>
      </c>
    </row>
    <row r="11" spans="1:51">
      <c r="A11" s="9">
        <v>9</v>
      </c>
      <c r="B11" s="1" t="s">
        <v>353</v>
      </c>
      <c r="C11" s="1" t="s">
        <v>354</v>
      </c>
      <c r="D11" s="301">
        <f t="shared" si="0"/>
        <v>8.7468750000000046</v>
      </c>
      <c r="E11" s="313">
        <f>'Demand calc &gt;&gt;&gt;'!$E10*'Assumptions data'!$E11*'National data'!$E12*'National data'!$F12*D11</f>
        <v>2746928940.3819547</v>
      </c>
      <c r="F11" s="301">
        <f t="shared" si="1"/>
        <v>97.47</v>
      </c>
      <c r="G11" s="313">
        <f>'Demand calc &gt;&gt;&gt;'!E10*'Assumptions data'!$G11*'National data'!$H12*'National data'!$I12*$F11</f>
        <v>3730612143.2447762</v>
      </c>
      <c r="H11" s="301">
        <f t="shared" si="3"/>
        <v>45.027500000000003</v>
      </c>
      <c r="I11" s="313">
        <f>'Demand calc &gt;&gt;&gt;'!E10*'Assumptions data'!$I11*'National data'!$K12*'National data'!$L12*$H11</f>
        <v>2297871321.5000062</v>
      </c>
      <c r="J11" s="323">
        <f t="shared" si="2"/>
        <v>31.142857142857142</v>
      </c>
      <c r="K11" s="197">
        <f>'Demand calc &gt;&gt;&gt;'!E10*'Assumptions data'!$J11*'National data'!$N12*'National data'!$O12*J11</f>
        <v>2781277819.5935884</v>
      </c>
      <c r="L11" s="313">
        <f>'Demand calc &gt;&gt;&gt;'!$F10*'Assumptions data'!$E11*'National data'!$E12*'National data'!$F12*$D11</f>
        <v>537641210.18061328</v>
      </c>
      <c r="M11" s="313">
        <f>'Demand calc &gt;&gt;&gt;'!$F10*'Assumptions data'!$G11*'National data'!$H12*'National data'!$I12*$F11</f>
        <v>730172083.42117524</v>
      </c>
      <c r="N11" s="313">
        <f>'Demand calc &gt;&gt;&gt;'!$F10*'Assumptions data'!$I11*'National data'!$K12*'National data'!$L12*$H11</f>
        <v>449749645.85680336</v>
      </c>
      <c r="O11" s="197">
        <f>'Demand calc &gt;&gt;&gt;'!$F10*'Assumptions data'!$J11*'National data'!$N12*'National data'!$O12*$J11</f>
        <v>544364126.34935939</v>
      </c>
      <c r="P11" s="313">
        <f>'Demand calc &gt;&gt;&gt;'!$G10*'Assumptions data'!$E11*'National data'!$E12*'National data'!$F12*$D11</f>
        <v>763923109.10225892</v>
      </c>
      <c r="Q11" s="313">
        <f>'Demand calc &gt;&gt;&gt;'!$G10*'Assumptions data'!$G11*'National data'!$H12*'National data'!$I12*$F11</f>
        <v>1037486185.1817392</v>
      </c>
      <c r="R11" s="313">
        <f>'Demand calc &gt;&gt;&gt;'!$G10*'Assumptions data'!$I11*'National data'!$K12*'National data'!$L12*$H11</f>
        <v>639039830.41990042</v>
      </c>
      <c r="S11" s="197">
        <f>'Demand calc &gt;&gt;&gt;'!$G10*'Assumptions data'!$J11*'National data'!$N12*'National data'!$O12*$J11</f>
        <v>773475559.55548429</v>
      </c>
      <c r="T11" s="313">
        <f>'Demand calc &gt;&gt;&gt;'!$H10*'Assumptions data'!$E11*'National data'!$E12*'National data'!$F12*$D11</f>
        <v>1389765680.1697469</v>
      </c>
      <c r="U11" s="313">
        <f>'Demand calc &gt;&gt;&gt;'!$H10*'Assumptions data'!$G11*'National data'!$H12*'National data'!$I12*$F11</f>
        <v>1887444792.0684748</v>
      </c>
      <c r="V11" s="313">
        <f>'Demand calc &gt;&gt;&gt;'!$H10*'Assumptions data'!$I11*'National data'!$K12*'National data'!$L12*$H11</f>
        <v>1162572010.1892993</v>
      </c>
      <c r="W11" s="197">
        <f>'Demand calc &gt;&gt;&gt;'!$H10*'Assumptions data'!$J11*'National data'!$N12*'National data'!$O12*$J11</f>
        <v>1407143957.6995573</v>
      </c>
      <c r="X11" s="313">
        <f>'Demand calc &gt;&gt;&gt;'!$I10*'Assumptions data'!$E11*'National data'!$E12*'National data'!$F12*$D11</f>
        <v>48674724.542410724</v>
      </c>
      <c r="Y11" s="313">
        <f>'Demand calc &gt;&gt;&gt;'!$I10*'Assumptions data'!$G11*'National data'!$H12*'National data'!$I12*$F11</f>
        <v>66105284.260379441</v>
      </c>
      <c r="Z11" s="313">
        <f>'Demand calc &gt;&gt;&gt;'!$I10*'Assumptions data'!$I11*'National data'!$K12*'National data'!$L12*$H11</f>
        <v>40717563.517447904</v>
      </c>
      <c r="AA11" s="197">
        <f>'Demand calc &gt;&gt;&gt;'!$I10*'Assumptions data'!$J11*'National data'!$N12*'National data'!$O12*$J11</f>
        <v>49283375.974702366</v>
      </c>
      <c r="AB11" s="313">
        <f>'Demand calc &gt;&gt;&gt;'!$J10*'Assumptions data'!$E11*'National data'!$E12*'National data'!$F12*D11</f>
        <v>763450808.08158803</v>
      </c>
      <c r="AC11" s="313">
        <f>'Demand calc &gt;&gt;&gt;'!J10*'Assumptions data'!$G11*'National data'!$H12*'National data'!$I12*$F11</f>
        <v>1036844751.7987784</v>
      </c>
      <c r="AD11" s="313">
        <f>'Demand calc &gt;&gt;&gt;'!J10*'Assumptions data'!$I11*'National data'!$K12*'National data'!$L12*$H11</f>
        <v>638644739.39495242</v>
      </c>
      <c r="AE11" s="197">
        <f>'Demand calc &gt;&gt;&gt;'!J10*'Assumptions data'!$J11*'National data'!$N12*'National data'!$O12*$J11</f>
        <v>772997352.66281486</v>
      </c>
      <c r="AF11" s="313">
        <f>'Demand calc &gt;&gt;&gt;'!$K10*'Assumptions data'!$E11*'National data'!$E12*'National data'!$F12*D11</f>
        <v>464754041.23407203</v>
      </c>
      <c r="AG11" s="313">
        <f>'Demand calc &gt;&gt;&gt;'!$K10*'Assumptions data'!$G11*'National data'!$H12*'National data'!$I12*$F11</f>
        <v>631183808.34737897</v>
      </c>
      <c r="AH11" s="313">
        <f>'Demand calc &gt;&gt;&gt;'!K10*'Assumptions data'!$I11*'National data'!$K12*'National data'!$L12*$H11</f>
        <v>388777797.3442989</v>
      </c>
      <c r="AI11" s="197">
        <f>'Demand calc &gt;&gt;&gt;'!K10*'Assumptions data'!$J11*'National data'!$N12*'National data'!$O12*$J11</f>
        <v>470565542.28558737</v>
      </c>
      <c r="AJ11" s="313">
        <f>'Demand calc &gt;&gt;&gt;'!L10*'Assumptions data'!$E11*'National data'!$E12*'National data'!$F12*D11</f>
        <v>228263065.55505258</v>
      </c>
      <c r="AK11" s="313">
        <f>'Demand calc &gt;&gt;&gt;'!L10*'Assumptions data'!$G11*'National data'!$H12*'National data'!$I12*$F11</f>
        <v>310004729.89867359</v>
      </c>
      <c r="AL11" s="313">
        <f>'Demand calc &gt;&gt;&gt;'!L10*'Assumptions data'!$I11*'National data'!$K12*'National data'!$L12*$H11</f>
        <v>190947477.52146</v>
      </c>
      <c r="AM11" s="197">
        <f>'Demand calc &gt;&gt;&gt;'!L10*'Assumptions data'!$J11*'National data'!$N12*'National data'!$O12*$J11</f>
        <v>231117373.27010307</v>
      </c>
      <c r="AN11" s="313">
        <f>'Demand calc &gt;&gt;&gt;'!M10*'Assumptions data'!$E11*'National data'!$E12*'National data'!$F12*D11</f>
        <v>217178408.46904463</v>
      </c>
      <c r="AO11" s="313">
        <f>'Demand calc &gt;&gt;&gt;'!M10*'Assumptions data'!$G11*'National data'!$H12*'National data'!$I12*$F11</f>
        <v>294950625.03238046</v>
      </c>
      <c r="AP11" s="313">
        <f>'Demand calc &gt;&gt;&gt;'!M10*'Assumptions data'!$I11*'National data'!$K12*'National data'!$L12*$H11</f>
        <v>181674898.51435331</v>
      </c>
      <c r="AQ11" s="197">
        <f>'Demand calc &gt;&gt;&gt;'!M10*'Assumptions data'!$J11*'National data'!$N12*'National data'!$O12*$J11</f>
        <v>219894108.46776423</v>
      </c>
      <c r="AR11" s="313">
        <f>'Demand calc &gt;&gt;&gt;'!N10*'Assumptions data'!$E11*'National data'!$E12*'National data'!$F12*D11</f>
        <v>11078048.023487069</v>
      </c>
      <c r="AS11" s="313">
        <f>'Demand calc &gt;&gt;&gt;'!N10*'Assumptions data'!$G11*'National data'!$H12*'National data'!$I12*$F11</f>
        <v>15045129.079357654</v>
      </c>
      <c r="AT11" s="313">
        <f>'Demand calc &gt;&gt;&gt;'!N10*'Assumptions data'!$I11*'National data'!$K12*'National data'!$L12*$H11</f>
        <v>9267050.3692866433</v>
      </c>
      <c r="AU11" s="197">
        <f>'Demand calc &gt;&gt;&gt;'!N10*'Assumptions data'!$J11*'National data'!$N12*'National data'!$O12*$J11</f>
        <v>11216573.097021198</v>
      </c>
      <c r="AV11" s="313">
        <f>'Demand calc &gt;&gt;&gt;'!O10*'Assumptions data'!$E11*'National data'!$E12*'National data'!$F12*D11</f>
        <v>785025957.42000043</v>
      </c>
      <c r="AW11" s="313">
        <f>'Demand calc &gt;&gt;&gt;'!O10*'Assumptions data'!$G11*'National data'!$H12*'National data'!$I12*$F11</f>
        <v>1066146024.5513999</v>
      </c>
      <c r="AX11" s="313">
        <f>'Demand calc &gt;&gt;&gt;'!O10*'Assumptions data'!$I11*'National data'!$K12*'National data'!$L12*$H11</f>
        <v>656692864.40940011</v>
      </c>
      <c r="AY11" s="197">
        <f>'Demand calc &gt;&gt;&gt;'!O10*'Assumptions data'!$J11*'National data'!$N12*'National data'!$O12*$J11</f>
        <v>794842287.71999991</v>
      </c>
    </row>
    <row r="12" spans="1:51">
      <c r="A12" s="9">
        <v>10</v>
      </c>
      <c r="B12" s="1" t="s">
        <v>358</v>
      </c>
      <c r="C12" s="1" t="s">
        <v>359</v>
      </c>
      <c r="D12" s="301">
        <f t="shared" si="0"/>
        <v>8.7468750000000046</v>
      </c>
      <c r="E12" s="313">
        <f>'Demand calc &gt;&gt;&gt;'!$E11*'Assumptions data'!$E12*'National data'!$E13*'National data'!$F13*D12</f>
        <v>1398671621.0949731</v>
      </c>
      <c r="F12" s="301">
        <f t="shared" si="1"/>
        <v>97.47</v>
      </c>
      <c r="G12" s="313">
        <f>'Demand calc &gt;&gt;&gt;'!E11*'Assumptions data'!$G12*'National data'!$H13*'National data'!$I13*$F12</f>
        <v>1899539976.211844</v>
      </c>
      <c r="H12" s="301">
        <f t="shared" si="3"/>
        <v>45.027500000000003</v>
      </c>
      <c r="I12" s="313">
        <f>'Demand calc &gt;&gt;&gt;'!E11*'Assumptions data'!$I12*'National data'!$K13*'National data'!$L13*$H12</f>
        <v>1170022041.3649166</v>
      </c>
      <c r="J12" s="323">
        <f t="shared" si="2"/>
        <v>31.142857142857142</v>
      </c>
      <c r="K12" s="197">
        <f>'Demand calc &gt;&gt;&gt;'!E11*'Assumptions data'!$J12*'National data'!$N13*'National data'!$O13*J12</f>
        <v>1416161262.6592183</v>
      </c>
      <c r="L12" s="313">
        <f>'Demand calc &gt;&gt;&gt;'!$F11*'Assumptions data'!$E12*'National data'!$E13*'National data'!$F13*$D12</f>
        <v>324066233.39136261</v>
      </c>
      <c r="M12" s="313">
        <f>'Demand calc &gt;&gt;&gt;'!$F11*'Assumptions data'!$G12*'National data'!$H13*'National data'!$I13*$F12</f>
        <v>440115289.38106024</v>
      </c>
      <c r="N12" s="313">
        <f>'Demand calc &gt;&gt;&gt;'!$F11*'Assumptions data'!$I12*'National data'!$K13*'National data'!$L13*$H12</f>
        <v>271089103.55467588</v>
      </c>
      <c r="O12" s="197">
        <f>'Demand calc &gt;&gt;&gt;'!$F11*'Assumptions data'!$J12*'National data'!$N13*'National data'!$O13*$J12</f>
        <v>328118508.54988247</v>
      </c>
      <c r="P12" s="313">
        <f>'Demand calc &gt;&gt;&gt;'!$G11*'Assumptions data'!$E12*'National data'!$E13*'National data'!$F13*$D12</f>
        <v>233021114.01662344</v>
      </c>
      <c r="Q12" s="313">
        <f>'Demand calc &gt;&gt;&gt;'!$G11*'Assumptions data'!$G12*'National data'!$H13*'National data'!$I13*$F12</f>
        <v>316466649.28360504</v>
      </c>
      <c r="R12" s="313">
        <f>'Demand calc &gt;&gt;&gt;'!$G11*'Assumptions data'!$I12*'National data'!$K13*'National data'!$L13*$H12</f>
        <v>194927698.10358784</v>
      </c>
      <c r="S12" s="197">
        <f>'Demand calc &gt;&gt;&gt;'!$G11*'Assumptions data'!$J12*'National data'!$N13*'National data'!$O13*$J12</f>
        <v>235934918.58632022</v>
      </c>
      <c r="T12" s="313">
        <f>'Demand calc &gt;&gt;&gt;'!$H11*'Assumptions data'!$E12*'National data'!$E13*'National data'!$F13*$D12</f>
        <v>777198987.87208867</v>
      </c>
      <c r="U12" s="313">
        <f>'Demand calc &gt;&gt;&gt;'!$H11*'Assumptions data'!$G12*'National data'!$H13*'National data'!$I13*$F12</f>
        <v>1055516194.5579867</v>
      </c>
      <c r="V12" s="313">
        <f>'Demand calc &gt;&gt;&gt;'!$H11*'Assumptions data'!$I12*'National data'!$K13*'National data'!$L13*$H12</f>
        <v>650145418.42563188</v>
      </c>
      <c r="W12" s="197">
        <f>'Demand calc &gt;&gt;&gt;'!$H11*'Assumptions data'!$J12*'National data'!$N13*'National data'!$O13*$J12</f>
        <v>786917446.0984273</v>
      </c>
      <c r="X12" s="313">
        <f>'Demand calc &gt;&gt;&gt;'!$I11*'Assumptions data'!$E12*'National data'!$E13*'National data'!$F13*$D12</f>
        <v>31744803.986405909</v>
      </c>
      <c r="Y12" s="313">
        <f>'Demand calc &gt;&gt;&gt;'!$I11*'Assumptions data'!$G12*'National data'!$H13*'National data'!$I13*$F12</f>
        <v>43112710.15993008</v>
      </c>
      <c r="Z12" s="313">
        <f>'Demand calc &gt;&gt;&gt;'!$I11*'Assumptions data'!$I12*'National data'!$K13*'National data'!$L13*$H12</f>
        <v>26555282.743083376</v>
      </c>
      <c r="AA12" s="197">
        <f>'Demand calc &gt;&gt;&gt;'!$I11*'Assumptions data'!$J12*'National data'!$N13*'National data'!$O13*$J12</f>
        <v>32141755.804742515</v>
      </c>
      <c r="AB12" s="313">
        <f>'Demand calc &gt;&gt;&gt;'!$J11*'Assumptions data'!$E12*'National data'!$E13*'National data'!$F13*D12</f>
        <v>425217884.1979118</v>
      </c>
      <c r="AC12" s="313">
        <f>'Demand calc &gt;&gt;&gt;'!J11*'Assumptions data'!$G12*'National data'!$H13*'National data'!$I13*$F12</f>
        <v>577489639.06325376</v>
      </c>
      <c r="AD12" s="313">
        <f>'Demand calc &gt;&gt;&gt;'!J11*'Assumptions data'!$I12*'National data'!$K13*'National data'!$L13*$H12</f>
        <v>355704862.66435015</v>
      </c>
      <c r="AE12" s="197">
        <f>'Demand calc &gt;&gt;&gt;'!J11*'Assumptions data'!$J12*'National data'!$N13*'National data'!$O13*$J12</f>
        <v>430535006.72271574</v>
      </c>
      <c r="AF12" s="313">
        <f>'Demand calc &gt;&gt;&gt;'!$K11*'Assumptions data'!$E12*'National data'!$E13*'National data'!$F13*D12</f>
        <v>290796174.70372391</v>
      </c>
      <c r="AG12" s="313">
        <f>'Demand calc &gt;&gt;&gt;'!$K11*'Assumptions data'!$G12*'National data'!$H13*'National data'!$I13*$F12</f>
        <v>394931126.39746553</v>
      </c>
      <c r="AH12" s="313">
        <f>'Demand calc &gt;&gt;&gt;'!K11*'Assumptions data'!$I12*'National data'!$K13*'National data'!$L13*$H12</f>
        <v>243257909.01627007</v>
      </c>
      <c r="AI12" s="197">
        <f>'Demand calc &gt;&gt;&gt;'!K11*'Assumptions data'!$J12*'National data'!$N13*'National data'!$O13*$J12</f>
        <v>294432425.54853624</v>
      </c>
      <c r="AJ12" s="313">
        <f>'Demand calc &gt;&gt;&gt;'!L11*'Assumptions data'!$E12*'National data'!$E13*'National data'!$F13*D12</f>
        <v>86742594.345587388</v>
      </c>
      <c r="AK12" s="313">
        <f>'Demand calc &gt;&gt;&gt;'!L11*'Assumptions data'!$G12*'National data'!$H13*'National data'!$I13*$F12</f>
        <v>117805368.40432708</v>
      </c>
      <c r="AL12" s="313">
        <f>'Demand calc &gt;&gt;&gt;'!L11*'Assumptions data'!$I12*'National data'!$K13*'National data'!$L13*$H12</f>
        <v>72562241.042725474</v>
      </c>
      <c r="AM12" s="197">
        <f>'Demand calc &gt;&gt;&gt;'!L11*'Assumptions data'!$J12*'National data'!$N13*'National data'!$O13*$J12</f>
        <v>87827264.156982675</v>
      </c>
      <c r="AN12" s="313">
        <f>'Demand calc &gt;&gt;&gt;'!M11*'Assumptions data'!$E12*'National data'!$E13*'National data'!$F13*D12</f>
        <v>139078468.35080725</v>
      </c>
      <c r="AO12" s="313">
        <f>'Demand calc &gt;&gt;&gt;'!M11*'Assumptions data'!$G12*'National data'!$H13*'National data'!$I13*$F12</f>
        <v>188882870.34511387</v>
      </c>
      <c r="AP12" s="313">
        <f>'Demand calc &gt;&gt;&gt;'!M11*'Assumptions data'!$I12*'National data'!$K13*'National data'!$L13*$H12</f>
        <v>116342443.06917846</v>
      </c>
      <c r="AQ12" s="197">
        <f>'Demand calc &gt;&gt;&gt;'!M11*'Assumptions data'!$J12*'National data'!$N13*'National data'!$O13*$J12</f>
        <v>140817570.31303591</v>
      </c>
      <c r="AR12" s="313">
        <f>'Demand calc &gt;&gt;&gt;'!N11*'Assumptions data'!$E12*'National data'!$E13*'National data'!$F13*D12</f>
        <v>7257901.7788656093</v>
      </c>
      <c r="AS12" s="313">
        <f>'Demand calc &gt;&gt;&gt;'!N11*'Assumptions data'!$G12*'National data'!$H13*'National data'!$I13*$F12</f>
        <v>9856977.409451656</v>
      </c>
      <c r="AT12" s="313">
        <f>'Demand calc &gt;&gt;&gt;'!N11*'Assumptions data'!$I12*'National data'!$K13*'National data'!$L13*$H12</f>
        <v>6071407.2747728815</v>
      </c>
      <c r="AU12" s="197">
        <f>'Demand calc &gt;&gt;&gt;'!N11*'Assumptions data'!$J12*'National data'!$N13*'National data'!$O13*$J12</f>
        <v>7348657.9640246956</v>
      </c>
      <c r="AV12" s="313">
        <f>'Demand calc &gt;&gt;&gt;'!O11*'Assumptions data'!$E12*'National data'!$E13*'National data'!$F13*D12</f>
        <v>400579552.28160024</v>
      </c>
      <c r="AW12" s="313">
        <f>'Demand calc &gt;&gt;&gt;'!O11*'Assumptions data'!$G12*'National data'!$H13*'National data'!$I13*$F12</f>
        <v>544028249.18707204</v>
      </c>
      <c r="AX12" s="313">
        <f>'Demand calc &gt;&gt;&gt;'!O11*'Assumptions data'!$I12*'National data'!$K13*'National data'!$L13*$H12</f>
        <v>335094312.64691204</v>
      </c>
      <c r="AY12" s="197">
        <f>'Demand calc &gt;&gt;&gt;'!O11*'Assumptions data'!$J12*'National data'!$N13*'National data'!$O13*$J12</f>
        <v>405588585.62559998</v>
      </c>
    </row>
    <row r="13" spans="1:51">
      <c r="A13" s="9">
        <v>11</v>
      </c>
      <c r="B13" s="1" t="s">
        <v>363</v>
      </c>
      <c r="C13" s="1" t="s">
        <v>364</v>
      </c>
      <c r="D13" s="301">
        <f t="shared" si="0"/>
        <v>8.7468750000000046</v>
      </c>
      <c r="E13" s="313">
        <f>'Demand calc &gt;&gt;&gt;'!$E12*'Assumptions data'!$E13*'National data'!$E14*'National data'!$F14*D13</f>
        <v>154093100.10584971</v>
      </c>
      <c r="F13" s="301">
        <f t="shared" si="1"/>
        <v>97.47</v>
      </c>
      <c r="G13" s="313">
        <f>'Demand calc &gt;&gt;&gt;'!E12*'Assumptions data'!$G13*'National data'!$H14*'National data'!$I14*$F13</f>
        <v>209274285.18233988</v>
      </c>
      <c r="H13" s="301">
        <f t="shared" si="3"/>
        <v>45.027500000000003</v>
      </c>
      <c r="I13" s="313">
        <f>'Demand calc &gt;&gt;&gt;'!E12*'Assumptions data'!$I13*'National data'!$K14*'National data'!$L14*$H13</f>
        <v>128902539.2571774</v>
      </c>
      <c r="J13" s="323">
        <f t="shared" si="2"/>
        <v>31.142857142857142</v>
      </c>
      <c r="K13" s="197">
        <f>'Demand calc &gt;&gt;&gt;'!E12*'Assumptions data'!$J13*'National data'!$N14*'National data'!$O14*J13</f>
        <v>156019952.01857015</v>
      </c>
      <c r="L13" s="313">
        <f>'Demand calc &gt;&gt;&gt;'!$F12*'Assumptions data'!$E13*'National data'!$E14*'National data'!$F14*$D13</f>
        <v>38211571.379000038</v>
      </c>
      <c r="M13" s="313">
        <f>'Demand calc &gt;&gt;&gt;'!$F12*'Assumptions data'!$G13*'National data'!$H14*'National data'!$I14*$F13</f>
        <v>51895245.669930026</v>
      </c>
      <c r="N13" s="313">
        <f>'Demand calc &gt;&gt;&gt;'!$F12*'Assumptions data'!$I13*'National data'!$K14*'National data'!$L14*$H13</f>
        <v>31964887.307585578</v>
      </c>
      <c r="O13" s="197">
        <f>'Demand calc &gt;&gt;&gt;'!$F12*'Assumptions data'!$J13*'National data'!$N14*'National data'!$O14*$J13</f>
        <v>38689386.669555567</v>
      </c>
      <c r="P13" s="313">
        <f>'Demand calc &gt;&gt;&gt;'!$G12*'Assumptions data'!$E13*'National data'!$E14*'National data'!$F14*$D13</f>
        <v>37727629.929340504</v>
      </c>
      <c r="Q13" s="313">
        <f>'Demand calc &gt;&gt;&gt;'!$G12*'Assumptions data'!$G13*'National data'!$H14*'National data'!$I14*$F13</f>
        <v>51238003.386673756</v>
      </c>
      <c r="R13" s="313">
        <f>'Demand calc &gt;&gt;&gt;'!$G12*'Assumptions data'!$I13*'National data'!$K14*'National data'!$L14*$H13</f>
        <v>31560058.78722962</v>
      </c>
      <c r="S13" s="197">
        <f>'Demand calc &gt;&gt;&gt;'!$G12*'Assumptions data'!$J13*'National data'!$N14*'National data'!$O14*$J13</f>
        <v>38199393.79055053</v>
      </c>
      <c r="T13" s="313">
        <f>'Demand calc &gt;&gt;&gt;'!$H12*'Assumptions data'!$E13*'National data'!$E14*'National data'!$F14*$D13</f>
        <v>80027783.734597355</v>
      </c>
      <c r="U13" s="313">
        <f>'Demand calc &gt;&gt;&gt;'!$H12*'Assumptions data'!$G13*'National data'!$H14*'National data'!$I14*$F13</f>
        <v>108685964.6816137</v>
      </c>
      <c r="V13" s="313">
        <f>'Demand calc &gt;&gt;&gt;'!$H12*'Assumptions data'!$I13*'National data'!$K14*'National data'!$L14*$H13</f>
        <v>66945142.432903968</v>
      </c>
      <c r="W13" s="197">
        <f>'Demand calc &gt;&gt;&gt;'!$H12*'Assumptions data'!$J13*'National data'!$N14*'National data'!$O14*$J13</f>
        <v>81028488.425812349</v>
      </c>
      <c r="X13" s="313">
        <f>'Demand calc &gt;&gt;&gt;'!$I12*'Assumptions data'!$E13*'National data'!$E14*'National data'!$F14*$D13</f>
        <v>6269174.7985152034</v>
      </c>
      <c r="Y13" s="313">
        <f>'Demand calc &gt;&gt;&gt;'!$I12*'Assumptions data'!$G13*'National data'!$H14*'National data'!$I14*$F13</f>
        <v>8514184.4361699838</v>
      </c>
      <c r="Z13" s="313">
        <f>'Demand calc &gt;&gt;&gt;'!$I12*'Assumptions data'!$I13*'National data'!$K14*'National data'!$L14*$H13</f>
        <v>5244313.6650544647</v>
      </c>
      <c r="AA13" s="197">
        <f>'Demand calc &gt;&gt;&gt;'!$I12*'Assumptions data'!$J13*'National data'!$N14*'National data'!$O14*$J13</f>
        <v>6347567.4808831997</v>
      </c>
      <c r="AB13" s="313">
        <f>'Demand calc &gt;&gt;&gt;'!$J12*'Assumptions data'!$E13*'National data'!$E14*'National data'!$F14*D13</f>
        <v>33947538.618181862</v>
      </c>
      <c r="AC13" s="313">
        <f>'Demand calc &gt;&gt;&gt;'!J12*'Assumptions data'!$G13*'National data'!$H14*'National data'!$I14*$F13</f>
        <v>46104250.437818214</v>
      </c>
      <c r="AD13" s="313">
        <f>'Demand calc &gt;&gt;&gt;'!J12*'Assumptions data'!$I13*'National data'!$K14*'National data'!$L14*$H13</f>
        <v>28397922.596202046</v>
      </c>
      <c r="AE13" s="197">
        <f>'Demand calc &gt;&gt;&gt;'!J12*'Assumptions data'!$J13*'National data'!$N14*'National data'!$O14*$J13</f>
        <v>34372034.456565686</v>
      </c>
      <c r="AF13" s="313">
        <f>'Demand calc &gt;&gt;&gt;'!$K12*'Assumptions data'!$E13*'National data'!$E14*'National data'!$F14*D13</f>
        <v>23345898.687507022</v>
      </c>
      <c r="AG13" s="313">
        <f>'Demand calc &gt;&gt;&gt;'!$K12*'Assumptions data'!$G13*'National data'!$H14*'National data'!$I14*$F13</f>
        <v>31706132.567981787</v>
      </c>
      <c r="AH13" s="313">
        <f>'Demand calc &gt;&gt;&gt;'!K12*'Assumptions data'!$I13*'National data'!$K14*'National data'!$L14*$H13</f>
        <v>19529398.915287439</v>
      </c>
      <c r="AI13" s="197">
        <f>'Demand calc &gt;&gt;&gt;'!K12*'Assumptions data'!$J13*'National data'!$N14*'National data'!$O14*$J13</f>
        <v>23637826.681098558</v>
      </c>
      <c r="AJ13" s="313">
        <f>'Demand calc &gt;&gt;&gt;'!L12*'Assumptions data'!$E13*'National data'!$E14*'National data'!$F14*D13</f>
        <v>10298476.02095622</v>
      </c>
      <c r="AK13" s="313">
        <f>'Demand calc &gt;&gt;&gt;'!L12*'Assumptions data'!$G13*'National data'!$H14*'National data'!$I14*$F13</f>
        <v>13986390.086724361</v>
      </c>
      <c r="AL13" s="313">
        <f>'Demand calc &gt;&gt;&gt;'!L12*'Assumptions data'!$I13*'National data'!$K14*'National data'!$L14*$H13</f>
        <v>8614919.8677197248</v>
      </c>
      <c r="AM13" s="197">
        <f>'Demand calc &gt;&gt;&gt;'!L12*'Assumptions data'!$J13*'National data'!$N14*'National data'!$O14*$J13</f>
        <v>10427252.962983176</v>
      </c>
      <c r="AN13" s="313">
        <f>'Demand calc &gt;&gt;&gt;'!M12*'Assumptions data'!$E13*'National data'!$E14*'National data'!$F14*D13</f>
        <v>12497845.050921962</v>
      </c>
      <c r="AO13" s="313">
        <f>'Demand calc &gt;&gt;&gt;'!M12*'Assumptions data'!$G13*'National data'!$H14*'National data'!$I14*$F13</f>
        <v>16973359.531054363</v>
      </c>
      <c r="AP13" s="313">
        <f>'Demand calc &gt;&gt;&gt;'!M12*'Assumptions data'!$I13*'National data'!$K14*'National data'!$L14*$H13</f>
        <v>10454744.314962558</v>
      </c>
      <c r="AQ13" s="197">
        <f>'Demand calc &gt;&gt;&gt;'!M12*'Assumptions data'!$J13*'National data'!$N14*'National data'!$O14*$J13</f>
        <v>12654123.927943129</v>
      </c>
      <c r="AR13" s="313">
        <f>'Demand calc &gt;&gt;&gt;'!N12*'Assumptions data'!$E13*'National data'!$E14*'National data'!$F14*D13</f>
        <v>1193486.6578731739</v>
      </c>
      <c r="AS13" s="313">
        <f>'Demand calc &gt;&gt;&gt;'!N12*'Assumptions data'!$G13*'National data'!$H14*'National data'!$I14*$F13</f>
        <v>1620877.6838774669</v>
      </c>
      <c r="AT13" s="313">
        <f>'Demand calc &gt;&gt;&gt;'!N12*'Assumptions data'!$I13*'National data'!$K14*'National data'!$L14*$H13</f>
        <v>998379.94474597508</v>
      </c>
      <c r="AU13" s="197">
        <f>'Demand calc &gt;&gt;&gt;'!N12*'Assumptions data'!$J13*'National data'!$N14*'National data'!$O14*$J13</f>
        <v>1208410.5710655851</v>
      </c>
      <c r="AV13" s="313">
        <f>'Demand calc &gt;&gt;&gt;'!O12*'Assumptions data'!$E13*'National data'!$E14*'National data'!$F14*D13</f>
        <v>38858521.478400022</v>
      </c>
      <c r="AW13" s="313">
        <f>'Demand calc &gt;&gt;&gt;'!O12*'Assumptions data'!$G13*'National data'!$H14*'National data'!$I14*$F13</f>
        <v>52773870.472128004</v>
      </c>
      <c r="AX13" s="313">
        <f>'Demand calc &gt;&gt;&gt;'!O12*'Assumptions data'!$I13*'National data'!$K14*'National data'!$L14*$H13</f>
        <v>32506076.436288007</v>
      </c>
      <c r="AY13" s="197">
        <f>'Demand calc &gt;&gt;&gt;'!O12*'Assumptions data'!$J13*'National data'!$N14*'National data'!$O14*$J13</f>
        <v>39344426.534399994</v>
      </c>
    </row>
    <row r="14" spans="1:51">
      <c r="A14" s="9">
        <v>12</v>
      </c>
      <c r="B14" s="1" t="s">
        <v>368</v>
      </c>
      <c r="C14" s="1" t="s">
        <v>278</v>
      </c>
      <c r="D14" s="301">
        <f t="shared" si="0"/>
        <v>8.7468750000000046</v>
      </c>
      <c r="E14" s="313">
        <f>'Demand calc &gt;&gt;&gt;'!$E13*'Assumptions data'!$E14*'National data'!$E15*'National data'!$F15*D14</f>
        <v>260613629.62384915</v>
      </c>
      <c r="F14" s="301">
        <f t="shared" si="1"/>
        <v>97.47</v>
      </c>
      <c r="G14" s="313">
        <f>'Demand calc &gt;&gt;&gt;'!E13*'Assumptions data'!$G14*'National data'!$H15*'National data'!$I15*$F14</f>
        <v>353940124.57950193</v>
      </c>
      <c r="H14" s="301">
        <f t="shared" si="3"/>
        <v>45.027500000000003</v>
      </c>
      <c r="I14" s="313">
        <f>'Demand calc &gt;&gt;&gt;'!E13*'Assumptions data'!$I14*'National data'!$K15*'National data'!$L15*$H14</f>
        <v>218009492.96540511</v>
      </c>
      <c r="J14" s="323">
        <f t="shared" si="2"/>
        <v>31.142857142857142</v>
      </c>
      <c r="K14" s="197">
        <f>'Demand calc &gt;&gt;&gt;'!E13*'Assumptions data'!$J14*'National data'!$N15*'National data'!$O15*J14</f>
        <v>263872463.86351842</v>
      </c>
      <c r="L14" s="313">
        <f>'Demand calc &gt;&gt;&gt;'!$F13*'Assumptions data'!$E14*'National data'!$E15*'National data'!$F15*$D14</f>
        <v>58304517.323285416</v>
      </c>
      <c r="M14" s="313">
        <f>'Demand calc &gt;&gt;&gt;'!$F13*'Assumptions data'!$G14*'National data'!$H15*'National data'!$I15*$F14</f>
        <v>79183533.703652859</v>
      </c>
      <c r="N14" s="313">
        <f>'Demand calc &gt;&gt;&gt;'!$F13*'Assumptions data'!$I14*'National data'!$K15*'National data'!$L15*$H14</f>
        <v>48773113.967938587</v>
      </c>
      <c r="O14" s="197">
        <f>'Demand calc &gt;&gt;&gt;'!$F13*'Assumptions data'!$J14*'National data'!$N15*'National data'!$O15*$J14</f>
        <v>59033584.170843415</v>
      </c>
      <c r="P14" s="313">
        <f>'Demand calc &gt;&gt;&gt;'!$G13*'Assumptions data'!$E14*'National data'!$E15*'National data'!$F15*$D14</f>
        <v>51790593.303590879</v>
      </c>
      <c r="Q14" s="313">
        <f>'Demand calc &gt;&gt;&gt;'!$G13*'Assumptions data'!$G14*'National data'!$H15*'National data'!$I15*$F14</f>
        <v>70336954.641921759</v>
      </c>
      <c r="R14" s="313">
        <f>'Demand calc &gt;&gt;&gt;'!$G13*'Assumptions data'!$I14*'National data'!$K15*'National data'!$L15*$H14</f>
        <v>43324061.76449687</v>
      </c>
      <c r="S14" s="197">
        <f>'Demand calc &gt;&gt;&gt;'!$G13*'Assumptions data'!$J14*'National data'!$N15*'National data'!$O15*$J14</f>
        <v>52438207.010495335</v>
      </c>
      <c r="T14" s="313">
        <f>'Demand calc &gt;&gt;&gt;'!$H13*'Assumptions data'!$E14*'National data'!$E15*'National data'!$F15*$D14</f>
        <v>152439111.00117812</v>
      </c>
      <c r="U14" s="313">
        <f>'Demand calc &gt;&gt;&gt;'!$H13*'Assumptions data'!$G14*'National data'!$H15*'National data'!$I15*$F14</f>
        <v>207027997.79282176</v>
      </c>
      <c r="V14" s="313">
        <f>'Demand calc &gt;&gt;&gt;'!$H13*'Assumptions data'!$I14*'National data'!$K15*'National data'!$L15*$H14</f>
        <v>127518938.07484399</v>
      </c>
      <c r="W14" s="197">
        <f>'Demand calc &gt;&gt;&gt;'!$H13*'Assumptions data'!$J14*'National data'!$N15*'National data'!$O15*$J14</f>
        <v>154345280.66357216</v>
      </c>
      <c r="X14" s="313">
        <f>'Demand calc &gt;&gt;&gt;'!$I13*'Assumptions data'!$E14*'National data'!$E15*'National data'!$F15*$D14</f>
        <v>4668776.3175000064</v>
      </c>
      <c r="Y14" s="313">
        <f>'Demand calc &gt;&gt;&gt;'!$I13*'Assumptions data'!$G14*'National data'!$H15*'National data'!$I15*$F14</f>
        <v>6340678.6277250051</v>
      </c>
      <c r="Z14" s="313">
        <f>'Demand calc &gt;&gt;&gt;'!$I13*'Assumptions data'!$I14*'National data'!$K15*'National data'!$L15*$H14</f>
        <v>3905542.3126416705</v>
      </c>
      <c r="AA14" s="197">
        <f>'Demand calc &gt;&gt;&gt;'!$I13*'Assumptions data'!$J14*'National data'!$N15*'National data'!$O15*$J14</f>
        <v>4727156.8716666708</v>
      </c>
      <c r="AB14" s="313">
        <f>'Demand calc &gt;&gt;&gt;'!$J13*'Assumptions data'!$E14*'National data'!$E15*'National data'!$F15*D14</f>
        <v>65732257.294214852</v>
      </c>
      <c r="AC14" s="313">
        <f>'Demand calc &gt;&gt;&gt;'!J13*'Assumptions data'!$G14*'National data'!$H15*'National data'!$I15*$F14</f>
        <v>89271168.853239566</v>
      </c>
      <c r="AD14" s="313">
        <f>'Demand calc &gt;&gt;&gt;'!J13*'Assumptions data'!$I14*'National data'!$K15*'National data'!$L15*$H14</f>
        <v>54986594.92547103</v>
      </c>
      <c r="AE14" s="197">
        <f>'Demand calc &gt;&gt;&gt;'!J13*'Assumptions data'!$J14*'National data'!$N15*'National data'!$O15*$J14</f>
        <v>66554204.06280984</v>
      </c>
      <c r="AF14" s="313">
        <f>'Demand calc &gt;&gt;&gt;'!$K13*'Assumptions data'!$E14*'National data'!$E15*'National data'!$F15*D14</f>
        <v>46015471.002312198</v>
      </c>
      <c r="AG14" s="313">
        <f>'Demand calc &gt;&gt;&gt;'!$K13*'Assumptions data'!$G14*'National data'!$H15*'National data'!$I15*$F14</f>
        <v>62493744.33198259</v>
      </c>
      <c r="AH14" s="313">
        <f>'Demand calc &gt;&gt;&gt;'!K13*'Assumptions data'!$I14*'National data'!$K15*'National data'!$L15*$H14</f>
        <v>38493034.751319684</v>
      </c>
      <c r="AI14" s="197">
        <f>'Demand calc &gt;&gt;&gt;'!K13*'Assumptions data'!$J14*'National data'!$N15*'National data'!$O15*$J14</f>
        <v>46590869.889443614</v>
      </c>
      <c r="AJ14" s="313">
        <f>'Demand calc &gt;&gt;&gt;'!L13*'Assumptions data'!$E14*'National data'!$E15*'National data'!$F15*D14</f>
        <v>24401366.099452343</v>
      </c>
      <c r="AK14" s="313">
        <f>'Demand calc &gt;&gt;&gt;'!L13*'Assumptions data'!$G14*'National data'!$H15*'National data'!$I15*$F14</f>
        <v>33139565.914552029</v>
      </c>
      <c r="AL14" s="313">
        <f>'Demand calc &gt;&gt;&gt;'!L13*'Assumptions data'!$I14*'National data'!$K15*'National data'!$L15*$H14</f>
        <v>20412322.481686559</v>
      </c>
      <c r="AM14" s="197">
        <f>'Demand calc &gt;&gt;&gt;'!L13*'Assumptions data'!$J14*'National data'!$N15*'National data'!$O15*$J14</f>
        <v>24706492.149284706</v>
      </c>
      <c r="AN14" s="313">
        <f>'Demand calc &gt;&gt;&gt;'!M13*'Assumptions data'!$E14*'National data'!$E15*'National data'!$F15*D14</f>
        <v>27055917.896552373</v>
      </c>
      <c r="AO14" s="313">
        <f>'Demand calc &gt;&gt;&gt;'!M13*'Assumptions data'!$G14*'National data'!$H15*'National data'!$I15*$F14</f>
        <v>36744720.39217627</v>
      </c>
      <c r="AP14" s="313">
        <f>'Demand calc &gt;&gt;&gt;'!M13*'Assumptions data'!$I14*'National data'!$K15*'National data'!$L15*$H14</f>
        <v>22632918.128090244</v>
      </c>
      <c r="AQ14" s="197">
        <f>'Demand calc &gt;&gt;&gt;'!M13*'Assumptions data'!$J14*'National data'!$N15*'National data'!$O15*$J14</f>
        <v>27394237.698760048</v>
      </c>
      <c r="AR14" s="313">
        <f>'Demand calc &gt;&gt;&gt;'!N13*'Assumptions data'!$E14*'National data'!$E15*'National data'!$F15*D14</f>
        <v>1031283.7466004512</v>
      </c>
      <c r="AS14" s="313">
        <f>'Demand calc &gt;&gt;&gt;'!N13*'Assumptions data'!$G14*'National data'!$H15*'National data'!$I15*$F14</f>
        <v>1400589.4406804896</v>
      </c>
      <c r="AT14" s="313">
        <f>'Demand calc &gt;&gt;&gt;'!N13*'Assumptions data'!$I14*'National data'!$K15*'National data'!$L15*$H14</f>
        <v>862693.35577088012</v>
      </c>
      <c r="AU14" s="197">
        <f>'Demand calc &gt;&gt;&gt;'!N13*'Assumptions data'!$J14*'National data'!$N15*'National data'!$O15*$J14</f>
        <v>1044179.3990231069</v>
      </c>
      <c r="AV14" s="313">
        <f>'Demand calc &gt;&gt;&gt;'!O13*'Assumptions data'!$E14*'National data'!$E15*'National data'!$F15*D14</f>
        <v>63308606.865300037</v>
      </c>
      <c r="AW14" s="313">
        <f>'Demand calc &gt;&gt;&gt;'!O13*'Assumptions data'!$G14*'National data'!$H15*'National data'!$I15*$F14</f>
        <v>85979602.191950992</v>
      </c>
      <c r="AX14" s="313">
        <f>'Demand calc &gt;&gt;&gt;'!O13*'Assumptions data'!$I14*'National data'!$K15*'National data'!$L15*$H14</f>
        <v>52959153.759421006</v>
      </c>
      <c r="AY14" s="197">
        <f>'Demand calc &gt;&gt;&gt;'!O13*'Assumptions data'!$J14*'National data'!$N15*'National data'!$O15*$J14</f>
        <v>64100247.179799989</v>
      </c>
    </row>
    <row r="15" spans="1:51">
      <c r="A15" s="9">
        <v>13</v>
      </c>
      <c r="B15" s="1" t="s">
        <v>372</v>
      </c>
      <c r="C15" s="1" t="s">
        <v>373</v>
      </c>
      <c r="D15" s="301">
        <f t="shared" si="0"/>
        <v>8.7468750000000046</v>
      </c>
      <c r="E15" s="313">
        <f>'Demand calc &gt;&gt;&gt;'!$E14*'Assumptions data'!$E15*'National data'!$E16*'National data'!$F16*D15</f>
        <v>1590396318.5698414</v>
      </c>
      <c r="F15" s="301">
        <f t="shared" si="1"/>
        <v>97.47</v>
      </c>
      <c r="G15" s="313">
        <f>'Demand calc &gt;&gt;&gt;'!E14*'Assumptions data'!$G15*'National data'!$H16*'National data'!$I16*$F15</f>
        <v>2159921842.6827765</v>
      </c>
      <c r="H15" s="301">
        <f t="shared" si="3"/>
        <v>45.027500000000003</v>
      </c>
      <c r="I15" s="313">
        <f>'Demand calc &gt;&gt;&gt;'!E14*'Assumptions data'!$I15*'National data'!$K16*'National data'!$L16*$H15</f>
        <v>1330404305.891026</v>
      </c>
      <c r="J15" s="323">
        <f t="shared" si="2"/>
        <v>31.142857142857142</v>
      </c>
      <c r="K15" s="197">
        <f>'Demand calc &gt;&gt;&gt;'!E14*'Assumptions data'!$J15*'National data'!$N16*'National data'!$O16*J15</f>
        <v>1610283375.0721426</v>
      </c>
      <c r="L15" s="313">
        <f>'Demand calc &gt;&gt;&gt;'!$F14*'Assumptions data'!$E15*'National data'!$E16*'National data'!$F16*$D15</f>
        <v>388578967.43587971</v>
      </c>
      <c r="M15" s="313">
        <f>'Demand calc &gt;&gt;&gt;'!$F14*'Assumptions data'!$G15*'National data'!$H16*'National data'!$I16*$F15</f>
        <v>527730220.17971843</v>
      </c>
      <c r="N15" s="313">
        <f>'Demand calc &gt;&gt;&gt;'!$F14*'Assumptions data'!$I15*'National data'!$K16*'National data'!$L16*$H15</f>
        <v>325055538.30774969</v>
      </c>
      <c r="O15" s="197">
        <f>'Demand calc &gt;&gt;&gt;'!$F14*'Assumptions data'!$J15*'National data'!$N16*'National data'!$O16*$J15</f>
        <v>393437939.87612808</v>
      </c>
      <c r="P15" s="313">
        <f>'Demand calc &gt;&gt;&gt;'!$G14*'Assumptions data'!$E15*'National data'!$E16*'National data'!$F16*$D15</f>
        <v>366074284.77018017</v>
      </c>
      <c r="Q15" s="313">
        <f>'Demand calc &gt;&gt;&gt;'!$G14*'Assumptions data'!$G15*'National data'!$H16*'National data'!$I16*$F15</f>
        <v>497166545.5253405</v>
      </c>
      <c r="R15" s="313">
        <f>'Demand calc &gt;&gt;&gt;'!$G14*'Assumptions data'!$I15*'National data'!$K16*'National data'!$L16*$H15</f>
        <v>306229836.58072257</v>
      </c>
      <c r="S15" s="197">
        <f>'Demand calc &gt;&gt;&gt;'!$G14*'Assumptions data'!$J15*'National data'!$N16*'National data'!$O16*$J15</f>
        <v>370651848.17387992</v>
      </c>
      <c r="T15" s="313">
        <f>'Demand calc &gt;&gt;&gt;'!$H14*'Assumptions data'!$E15*'National data'!$E16*'National data'!$F16*$D15</f>
        <v>1042248606.2016606</v>
      </c>
      <c r="U15" s="313">
        <f>'Demand calc &gt;&gt;&gt;'!$H14*'Assumptions data'!$G15*'National data'!$H16*'National data'!$I16*$F15</f>
        <v>1415480848.2359972</v>
      </c>
      <c r="V15" s="313">
        <f>'Demand calc &gt;&gt;&gt;'!$H14*'Assumptions data'!$I15*'National data'!$K16*'National data'!$L16*$H15</f>
        <v>871865721.33574617</v>
      </c>
      <c r="W15" s="197">
        <f>'Demand calc &gt;&gt;&gt;'!$H14*'Assumptions data'!$J15*'National data'!$N16*'National data'!$O16*$J15</f>
        <v>1055281368.3370862</v>
      </c>
      <c r="X15" s="313">
        <f>'Demand calc &gt;&gt;&gt;'!$I14*'Assumptions data'!$E15*'National data'!$E16*'National data'!$F16*$D15</f>
        <v>12128090.537045458</v>
      </c>
      <c r="Y15" s="313">
        <f>'Demand calc &gt;&gt;&gt;'!$I14*'Assumptions data'!$G15*'National data'!$H16*'National data'!$I16*$F15</f>
        <v>16471194.855729541</v>
      </c>
      <c r="Z15" s="313">
        <f>'Demand calc &gt;&gt;&gt;'!$I14*'Assumptions data'!$I15*'National data'!$K16*'National data'!$L16*$H15</f>
        <v>10145435.879297728</v>
      </c>
      <c r="AA15" s="197">
        <f>'Demand calc &gt;&gt;&gt;'!$I14*'Assumptions data'!$J15*'National data'!$N16*'National data'!$O16*$J15</f>
        <v>12279745.831363633</v>
      </c>
      <c r="AB15" s="313">
        <f>'Demand calc &gt;&gt;&gt;'!$J14*'Assumptions data'!$E15*'National data'!$E16*'National data'!$F16*D15</f>
        <v>353046393.23552382</v>
      </c>
      <c r="AC15" s="313">
        <f>'Demand calc &gt;&gt;&gt;'!J14*'Assumptions data'!$G15*'National data'!$H16*'National data'!$I16*$F15</f>
        <v>479473328.33082992</v>
      </c>
      <c r="AD15" s="313">
        <f>'Demand calc &gt;&gt;&gt;'!J14*'Assumptions data'!$I15*'National data'!$K16*'National data'!$L16*$H15</f>
        <v>295331695.7890147</v>
      </c>
      <c r="AE15" s="197">
        <f>'Demand calc &gt;&gt;&gt;'!J14*'Assumptions data'!$J15*'National data'!$N16*'National data'!$O16*$J15</f>
        <v>357461049.81403142</v>
      </c>
      <c r="AF15" s="313">
        <f>'Demand calc &gt;&gt;&gt;'!$K14*'Assumptions data'!$E15*'National data'!$E16*'National data'!$F16*D15</f>
        <v>244906776.14071518</v>
      </c>
      <c r="AG15" s="313">
        <f>'Demand calc &gt;&gt;&gt;'!$K14*'Assumptions data'!$G15*'National data'!$H16*'National data'!$I16*$F15</f>
        <v>332608601.41014081</v>
      </c>
      <c r="AH15" s="313">
        <f>'Demand calc &gt;&gt;&gt;'!K14*'Assumptions data'!$I15*'National data'!$K16*'National data'!$L16*$H15</f>
        <v>204870336.85571793</v>
      </c>
      <c r="AI15" s="197">
        <f>'Demand calc &gt;&gt;&gt;'!K14*'Assumptions data'!$J15*'National data'!$N16*'National data'!$O16*$J15</f>
        <v>247969204.56691185</v>
      </c>
      <c r="AJ15" s="313">
        <f>'Demand calc &gt;&gt;&gt;'!L14*'Assumptions data'!$E15*'National data'!$E16*'National data'!$F16*D15</f>
        <v>81123372.595863193</v>
      </c>
      <c r="AK15" s="313">
        <f>'Demand calc &gt;&gt;&gt;'!L14*'Assumptions data'!$G15*'National data'!$H16*'National data'!$I16*$F15</f>
        <v>110173887.08461325</v>
      </c>
      <c r="AL15" s="313">
        <f>'Demand calc &gt;&gt;&gt;'!L14*'Assumptions data'!$I15*'National data'!$K16*'National data'!$L16*$H15</f>
        <v>67861628.544884562</v>
      </c>
      <c r="AM15" s="197">
        <f>'Demand calc &gt;&gt;&gt;'!L14*'Assumptions data'!$J15*'National data'!$N16*'National data'!$O16*$J15</f>
        <v>82137777.040613145</v>
      </c>
      <c r="AN15" s="313">
        <f>'Demand calc &gt;&gt;&gt;'!M14*'Assumptions data'!$E15*'National data'!$E16*'National data'!$F16*D15</f>
        <v>111113277.29565917</v>
      </c>
      <c r="AO15" s="313">
        <f>'Demand calc &gt;&gt;&gt;'!M14*'Assumptions data'!$G15*'National data'!$H16*'National data'!$I16*$F15</f>
        <v>150903263.44491166</v>
      </c>
      <c r="AP15" s="313">
        <f>'Demand calc &gt;&gt;&gt;'!M14*'Assumptions data'!$I15*'National data'!$K16*'National data'!$L16*$H15</f>
        <v>92948896.340970024</v>
      </c>
      <c r="AQ15" s="197">
        <f>'Demand calc &gt;&gt;&gt;'!M14*'Assumptions data'!$J15*'National data'!$N16*'National data'!$O16*$J15</f>
        <v>112502689.48049228</v>
      </c>
      <c r="AR15" s="313">
        <f>'Demand calc &gt;&gt;&gt;'!N14*'Assumptions data'!$E15*'National data'!$E16*'National data'!$F16*D15</f>
        <v>1738335.9494874789</v>
      </c>
      <c r="AS15" s="313">
        <f>'Demand calc &gt;&gt;&gt;'!N14*'Assumptions data'!$G15*'National data'!$H16*'National data'!$I16*$F15</f>
        <v>2360839.0835531382</v>
      </c>
      <c r="AT15" s="313">
        <f>'Demand calc &gt;&gt;&gt;'!N14*'Assumptions data'!$I15*'National data'!$K16*'National data'!$L16*$H15</f>
        <v>1454159.3219751576</v>
      </c>
      <c r="AU15" s="197">
        <f>'Demand calc &gt;&gt;&gt;'!N14*'Assumptions data'!$J15*'National data'!$N16*'National data'!$O16*$J15</f>
        <v>1760072.912056989</v>
      </c>
      <c r="AV15" s="313">
        <f>'Demand calc &gt;&gt;&gt;'!O14*'Assumptions data'!$E15*'National data'!$E16*'National data'!$F16*D15</f>
        <v>441139079.80080026</v>
      </c>
      <c r="AW15" s="313">
        <f>'Demand calc &gt;&gt;&gt;'!O14*'Assumptions data'!$G15*'National data'!$H16*'National data'!$I16*$F15</f>
        <v>599112260.88573599</v>
      </c>
      <c r="AX15" s="313">
        <f>'Demand calc &gt;&gt;&gt;'!O14*'Assumptions data'!$I15*'National data'!$K16*'National data'!$L16*$H15</f>
        <v>369023321.04965603</v>
      </c>
      <c r="AY15" s="197">
        <f>'Demand calc &gt;&gt;&gt;'!O14*'Assumptions data'!$J15*'National data'!$N16*'National data'!$O16*$J15</f>
        <v>446655288.37279999</v>
      </c>
    </row>
    <row r="16" spans="1:51">
      <c r="A16" s="9">
        <v>14</v>
      </c>
      <c r="B16" s="1" t="s">
        <v>378</v>
      </c>
      <c r="C16" s="1" t="s">
        <v>379</v>
      </c>
      <c r="D16" s="301">
        <f t="shared" si="0"/>
        <v>8.7468750000000046</v>
      </c>
      <c r="E16" s="313">
        <f>'Demand calc &gt;&gt;&gt;'!$E15*'Assumptions data'!$E16*'National data'!$E17*'National data'!$F17*D16</f>
        <v>1002744501.5004146</v>
      </c>
      <c r="F16" s="301">
        <f t="shared" si="1"/>
        <v>97.47</v>
      </c>
      <c r="G16" s="313">
        <f>'Demand calc &gt;&gt;&gt;'!E15*'Assumptions data'!$G16*'National data'!$H17*'National data'!$I17*$F16</f>
        <v>1361830209.3206747</v>
      </c>
      <c r="H16" s="301">
        <f t="shared" si="3"/>
        <v>45.027500000000003</v>
      </c>
      <c r="I16" s="313">
        <f>'Demand calc &gt;&gt;&gt;'!E15*'Assumptions data'!$I16*'National data'!$K17*'National data'!$L17*$H16</f>
        <v>838819599.19546795</v>
      </c>
      <c r="J16" s="323">
        <f t="shared" si="2"/>
        <v>31.142857142857142</v>
      </c>
      <c r="K16" s="197">
        <f>'Demand calc &gt;&gt;&gt;'!E15*'Assumptions data'!$J16*'National data'!$N17*'National data'!$O17*J16</f>
        <v>1015283285.9064569</v>
      </c>
      <c r="L16" s="313">
        <f>'Demand calc &gt;&gt;&gt;'!$F15*'Assumptions data'!$E16*'National data'!$E17*'National data'!$F17*$D16</f>
        <v>181864994.38420638</v>
      </c>
      <c r="M16" s="313">
        <f>'Demand calc &gt;&gt;&gt;'!$F15*'Assumptions data'!$G16*'National data'!$H17*'National data'!$I17*$F16</f>
        <v>246991375.17060196</v>
      </c>
      <c r="N16" s="313">
        <f>'Demand calc &gt;&gt;&gt;'!$F15*'Assumptions data'!$I16*'National data'!$K17*'National data'!$L17*$H16</f>
        <v>152134388.6391612</v>
      </c>
      <c r="O16" s="197">
        <f>'Demand calc &gt;&gt;&gt;'!$F15*'Assumptions data'!$J16*'National data'!$N17*'National data'!$O17*$J16</f>
        <v>184139119.00137213</v>
      </c>
      <c r="P16" s="313">
        <f>'Demand calc &gt;&gt;&gt;'!$G15*'Assumptions data'!$E16*'National data'!$E17*'National data'!$F17*$D16</f>
        <v>152616661.56109565</v>
      </c>
      <c r="Q16" s="313">
        <f>'Demand calc &gt;&gt;&gt;'!$G15*'Assumptions data'!$G16*'National data'!$H17*'National data'!$I17*$F16</f>
        <v>207269129.72205767</v>
      </c>
      <c r="R16" s="313">
        <f>'Demand calc &gt;&gt;&gt;'!$G15*'Assumptions data'!$I16*'National data'!$K17*'National data'!$L17*$H16</f>
        <v>127667463.33654736</v>
      </c>
      <c r="S16" s="197">
        <f>'Demand calc &gt;&gt;&gt;'!$G15*'Assumptions data'!$J16*'National data'!$N17*'National data'!$O17*$J16</f>
        <v>154525051.39840829</v>
      </c>
      <c r="T16" s="313">
        <f>'Demand calc &gt;&gt;&gt;'!$H15*'Assumptions data'!$E16*'National data'!$E17*'National data'!$F17*$D16</f>
        <v>534881686.51766419</v>
      </c>
      <c r="U16" s="313">
        <f>'Demand calc &gt;&gt;&gt;'!$H15*'Assumptions data'!$G16*'National data'!$H17*'National data'!$I17*$F16</f>
        <v>726424366.34876418</v>
      </c>
      <c r="V16" s="313">
        <f>'Demand calc &gt;&gt;&gt;'!$H15*'Assumptions data'!$I16*'National data'!$K17*'National data'!$L17*$H16</f>
        <v>447441238.75064445</v>
      </c>
      <c r="W16" s="197">
        <f>'Demand calc &gt;&gt;&gt;'!$H15*'Assumptions data'!$J16*'National data'!$N17*'National data'!$O17*$J16</f>
        <v>541570096.31692016</v>
      </c>
      <c r="X16" s="313">
        <f>'Demand calc &gt;&gt;&gt;'!$I15*'Assumptions data'!$E16*'National data'!$E17*'National data'!$F17*$D16</f>
        <v>7776419.5850154823</v>
      </c>
      <c r="Y16" s="313">
        <f>'Demand calc &gt;&gt;&gt;'!$I15*'Assumptions data'!$G16*'National data'!$H17*'National data'!$I17*$F16</f>
        <v>10561177.942517644</v>
      </c>
      <c r="Z16" s="313">
        <f>'Demand calc &gt;&gt;&gt;'!$I15*'Assumptions data'!$I16*'National data'!$K17*'National data'!$L17*$H16</f>
        <v>6505159.7388148606</v>
      </c>
      <c r="AA16" s="197">
        <f>'Demand calc &gt;&gt;&gt;'!$I15*'Assumptions data'!$J16*'National data'!$N17*'National data'!$O17*$J16</f>
        <v>7873659.5583900912</v>
      </c>
      <c r="AB16" s="313">
        <f>'Demand calc &gt;&gt;&gt;'!$J15*'Assumptions data'!$E16*'National data'!$E17*'National data'!$F17*D16</f>
        <v>277875354.42518002</v>
      </c>
      <c r="AC16" s="313">
        <f>'Demand calc &gt;&gt;&gt;'!J15*'Assumptions data'!$G16*'National data'!$H17*'National data'!$I17*$F16</f>
        <v>377383322.98573375</v>
      </c>
      <c r="AD16" s="313">
        <f>'Demand calc &gt;&gt;&gt;'!J15*'Assumptions data'!$I16*'National data'!$K17*'National data'!$L17*$H16</f>
        <v>232449335.87415108</v>
      </c>
      <c r="AE16" s="197">
        <f>'Demand calc &gt;&gt;&gt;'!J15*'Assumptions data'!$J16*'National data'!$N17*'National data'!$O17*$J16</f>
        <v>281350037.31366909</v>
      </c>
      <c r="AF16" s="313">
        <f>'Demand calc &gt;&gt;&gt;'!$K15*'Assumptions data'!$E16*'National data'!$E17*'National data'!$F17*D16</f>
        <v>202498346.80642954</v>
      </c>
      <c r="AG16" s="313">
        <f>'Demand calc &gt;&gt;&gt;'!$K15*'Assumptions data'!$G16*'National data'!$H17*'National data'!$I17*$F16</f>
        <v>275013590.80588937</v>
      </c>
      <c r="AH16" s="313">
        <f>'Demand calc &gt;&gt;&gt;'!K15*'Assumptions data'!$I16*'National data'!$K17*'National data'!$L17*$H16</f>
        <v>169394678.15754846</v>
      </c>
      <c r="AI16" s="197">
        <f>'Demand calc &gt;&gt;&gt;'!K15*'Assumptions data'!$J16*'National data'!$N17*'National data'!$O17*$J16</f>
        <v>205030480.47496283</v>
      </c>
      <c r="AJ16" s="313">
        <f>'Demand calc &gt;&gt;&gt;'!L15*'Assumptions data'!$E16*'National data'!$E17*'National data'!$F17*D16</f>
        <v>52530458.32127814</v>
      </c>
      <c r="AK16" s="313">
        <f>'Demand calc &gt;&gt;&gt;'!L15*'Assumptions data'!$G16*'National data'!$H17*'National data'!$I17*$F16</f>
        <v>71341767.463531315</v>
      </c>
      <c r="AL16" s="313">
        <f>'Demand calc &gt;&gt;&gt;'!L15*'Assumptions data'!$I16*'National data'!$K17*'National data'!$L17*$H16</f>
        <v>43942976.42986431</v>
      </c>
      <c r="AM16" s="197">
        <f>'Demand calc &gt;&gt;&gt;'!L15*'Assumptions data'!$J16*'National data'!$N17*'National data'!$O17*$J16</f>
        <v>53187323.645052575</v>
      </c>
      <c r="AN16" s="313">
        <f>'Demand calc &gt;&gt;&gt;'!M15*'Assumptions data'!$E16*'National data'!$E17*'National data'!$F17*D16</f>
        <v>62528223.526051082</v>
      </c>
      <c r="AO16" s="313">
        <f>'Demand calc &gt;&gt;&gt;'!M15*'Assumptions data'!$G16*'National data'!$H17*'National data'!$I17*$F16</f>
        <v>84919761.320572913</v>
      </c>
      <c r="AP16" s="313">
        <f>'Demand calc &gt;&gt;&gt;'!M15*'Assumptions data'!$I16*'National data'!$K17*'National data'!$L17*$H16</f>
        <v>52306344.555413261</v>
      </c>
      <c r="AQ16" s="197">
        <f>'Demand calc &gt;&gt;&gt;'!M15*'Assumptions data'!$J16*'National data'!$N17*'National data'!$O17*$J16</f>
        <v>63310105.563711561</v>
      </c>
      <c r="AR16" s="313">
        <f>'Demand calc &gt;&gt;&gt;'!N15*'Assumptions data'!$E16*'National data'!$E17*'National data'!$F17*D16</f>
        <v>2131711.9734631558</v>
      </c>
      <c r="AS16" s="313">
        <f>'Demand calc &gt;&gt;&gt;'!N15*'Assumptions data'!$G16*'National data'!$H17*'National data'!$I17*$F16</f>
        <v>2895084.2001017118</v>
      </c>
      <c r="AT16" s="313">
        <f>'Demand calc &gt;&gt;&gt;'!N15*'Assumptions data'!$I16*'National data'!$K17*'National data'!$L17*$H16</f>
        <v>1783227.712049244</v>
      </c>
      <c r="AU16" s="197">
        <f>'Demand calc &gt;&gt;&gt;'!N15*'Assumptions data'!$J16*'National data'!$N17*'National data'!$O17*$J16</f>
        <v>2158367.8931027437</v>
      </c>
      <c r="AV16" s="313">
        <f>'Demand calc &gt;&gt;&gt;'!O15*'Assumptions data'!$E16*'National data'!$E17*'National data'!$F17*D16</f>
        <v>236448757.84500015</v>
      </c>
      <c r="AW16" s="313">
        <f>'Demand calc &gt;&gt;&gt;'!O15*'Assumptions data'!$G16*'National data'!$H17*'National data'!$I17*$F16</f>
        <v>321121742.28614992</v>
      </c>
      <c r="AX16" s="313">
        <f>'Demand calc &gt;&gt;&gt;'!O15*'Assumptions data'!$I16*'National data'!$K17*'National data'!$L17*$H16</f>
        <v>197795003.60165</v>
      </c>
      <c r="AY16" s="197">
        <f>'Demand calc &gt;&gt;&gt;'!O15*'Assumptions data'!$J16*'National data'!$N17*'National data'!$O17*$J16</f>
        <v>239405423.26999998</v>
      </c>
    </row>
    <row r="17" spans="1:51">
      <c r="A17" s="9">
        <v>15</v>
      </c>
      <c r="B17" s="1" t="s">
        <v>383</v>
      </c>
      <c r="C17" s="1" t="s">
        <v>384</v>
      </c>
      <c r="D17" s="301">
        <f t="shared" si="0"/>
        <v>8.7468750000000046</v>
      </c>
      <c r="E17" s="313">
        <f>'Demand calc &gt;&gt;&gt;'!$E16*'Assumptions data'!$E17*'National data'!$E18*'National data'!$F18*D17</f>
        <v>424737416.22352982</v>
      </c>
      <c r="F17" s="301">
        <f t="shared" si="1"/>
        <v>97.47</v>
      </c>
      <c r="G17" s="313">
        <f>'Demand calc &gt;&gt;&gt;'!E16*'Assumptions data'!$G17*'National data'!$H18*'National data'!$I18*$F17</f>
        <v>576837114.11682379</v>
      </c>
      <c r="H17" s="301">
        <f t="shared" si="3"/>
        <v>45.027500000000003</v>
      </c>
      <c r="I17" s="313">
        <f>'Demand calc &gt;&gt;&gt;'!E16*'Assumptions data'!$I17*'National data'!$K18*'National data'!$L18*$H17</f>
        <v>355302939.7885884</v>
      </c>
      <c r="J17" s="323">
        <f t="shared" si="2"/>
        <v>31.142857142857142</v>
      </c>
      <c r="K17" s="197">
        <f>'Demand calc &gt;&gt;&gt;'!E16*'Assumptions data'!$J17*'National data'!$N18*'National data'!$O18*J17</f>
        <v>430048530.75294137</v>
      </c>
      <c r="L17" s="313">
        <f>'Demand calc &gt;&gt;&gt;'!$F16*'Assumptions data'!$E17*'National data'!$E18*'National data'!$F18*$D17</f>
        <v>114341443.28385375</v>
      </c>
      <c r="M17" s="313">
        <f>'Demand calc &gt;&gt;&gt;'!$F16*'Assumptions data'!$G17*'National data'!$H18*'National data'!$I18*$F17</f>
        <v>155287445.0154382</v>
      </c>
      <c r="N17" s="313">
        <f>'Demand calc &gt;&gt;&gt;'!$F16*'Assumptions data'!$I17*'National data'!$K18*'National data'!$L18*$H17</f>
        <v>95649333.886428595</v>
      </c>
      <c r="O17" s="197">
        <f>'Demand calc &gt;&gt;&gt;'!$F16*'Assumptions data'!$J17*'National data'!$N18*'National data'!$O18*$J17</f>
        <v>115771221.96014337</v>
      </c>
      <c r="P17" s="313">
        <f>'Demand calc &gt;&gt;&gt;'!$G16*'Assumptions data'!$E17*'National data'!$E18*'National data'!$F18*$D17</f>
        <v>81387315.652657643</v>
      </c>
      <c r="Q17" s="313">
        <f>'Demand calc &gt;&gt;&gt;'!$G16*'Assumptions data'!$G17*'National data'!$H18*'National data'!$I18*$F17</f>
        <v>110532348.91386811</v>
      </c>
      <c r="R17" s="313">
        <f>'Demand calc &gt;&gt;&gt;'!$G16*'Assumptions data'!$I17*'National data'!$K18*'National data'!$L18*$H17</f>
        <v>68082423.182780311</v>
      </c>
      <c r="S17" s="197">
        <f>'Demand calc &gt;&gt;&gt;'!$G16*'Assumptions data'!$J17*'National data'!$N18*'National data'!$O18*$J17</f>
        <v>82405020.564355686</v>
      </c>
      <c r="T17" s="313">
        <f>'Demand calc &gt;&gt;&gt;'!$H16*'Assumptions data'!$E17*'National data'!$E18*'National data'!$F18*$D17</f>
        <v>282252457.52396834</v>
      </c>
      <c r="U17" s="313">
        <f>'Demand calc &gt;&gt;&gt;'!$H16*'Assumptions data'!$G17*'National data'!$H18*'National data'!$I18*$F17</f>
        <v>383327879.37105608</v>
      </c>
      <c r="V17" s="313">
        <f>'Demand calc &gt;&gt;&gt;'!$H16*'Assumptions data'!$I17*'National data'!$K18*'National data'!$L18*$H17</f>
        <v>236110886.60962668</v>
      </c>
      <c r="W17" s="197">
        <f>'Demand calc &gt;&gt;&gt;'!$H16*'Assumptions data'!$J17*'National data'!$N18*'National data'!$O18*$J17</f>
        <v>285781873.74881238</v>
      </c>
      <c r="X17" s="313">
        <f>'Demand calc &gt;&gt;&gt;'!$I16*'Assumptions data'!$E17*'National data'!$E18*'National data'!$F18*$D17</f>
        <v>4041575.6426181807</v>
      </c>
      <c r="Y17" s="313">
        <f>'Demand calc &gt;&gt;&gt;'!$I16*'Assumptions data'!$G17*'National data'!$H18*'National data'!$I18*$F17</f>
        <v>5488875.5761178127</v>
      </c>
      <c r="Z17" s="313">
        <f>'Demand calc &gt;&gt;&gt;'!$I16*'Assumptions data'!$I17*'National data'!$K18*'National data'!$L18*$H17</f>
        <v>3380874.0467650886</v>
      </c>
      <c r="AA17" s="197">
        <f>'Demand calc &gt;&gt;&gt;'!$I16*'Assumptions data'!$J17*'National data'!$N18*'National data'!$O18*$J17</f>
        <v>4092113.3873454505</v>
      </c>
      <c r="AB17" s="313">
        <f>'Demand calc &gt;&gt;&gt;'!$J16*'Assumptions data'!$E17*'National data'!$E18*'National data'!$F18*D17</f>
        <v>110553110.88025758</v>
      </c>
      <c r="AC17" s="313">
        <f>'Demand calc &gt;&gt;&gt;'!J16*'Assumptions data'!$G17*'National data'!$H18*'National data'!$I18*$F17</f>
        <v>150142499.81509441</v>
      </c>
      <c r="AD17" s="313">
        <f>'Demand calc &gt;&gt;&gt;'!J16*'Assumptions data'!$I17*'National data'!$K18*'National data'!$L18*$H17</f>
        <v>92480303.825781137</v>
      </c>
      <c r="AE17" s="197">
        <f>'Demand calc &gt;&gt;&gt;'!J16*'Assumptions data'!$J17*'National data'!$N18*'National data'!$O18*$J17</f>
        <v>111935518.48326179</v>
      </c>
      <c r="AF17" s="313">
        <f>'Demand calc &gt;&gt;&gt;'!$K16*'Assumptions data'!$E17*'National data'!$E18*'National data'!$F18*D17</f>
        <v>83777421.340943605</v>
      </c>
      <c r="AG17" s="313">
        <f>'Demand calc &gt;&gt;&gt;'!$K16*'Assumptions data'!$G17*'National data'!$H18*'National data'!$I18*$F17</f>
        <v>113778358.36583386</v>
      </c>
      <c r="AH17" s="313">
        <f>'Demand calc &gt;&gt;&gt;'!K16*'Assumptions data'!$I17*'National data'!$K18*'National data'!$L18*$H17</f>
        <v>70081803.376322091</v>
      </c>
      <c r="AI17" s="197">
        <f>'Demand calc &gt;&gt;&gt;'!K16*'Assumptions data'!$J17*'National data'!$N18*'National data'!$O18*$J17</f>
        <v>84825013.247672036</v>
      </c>
      <c r="AJ17" s="313">
        <f>'Demand calc &gt;&gt;&gt;'!L16*'Assumptions data'!$E17*'National data'!$E18*'National data'!$F18*D17</f>
        <v>24539521.741852317</v>
      </c>
      <c r="AK17" s="313">
        <f>'Demand calc &gt;&gt;&gt;'!L16*'Assumptions data'!$G17*'National data'!$H18*'National data'!$I18*$F17</f>
        <v>33327195.492302749</v>
      </c>
      <c r="AL17" s="313">
        <f>'Demand calc &gt;&gt;&gt;'!L16*'Assumptions data'!$I17*'National data'!$K18*'National data'!$L18*$H17</f>
        <v>20527892.958922919</v>
      </c>
      <c r="AM17" s="197">
        <f>'Demand calc &gt;&gt;&gt;'!L16*'Assumptions data'!$J17*'National data'!$N18*'National data'!$O18*$J17</f>
        <v>24846375.354201294</v>
      </c>
      <c r="AN17" s="313">
        <f>'Demand calc &gt;&gt;&gt;'!M16*'Assumptions data'!$E17*'National data'!$E18*'National data'!$F18*D17</f>
        <v>29200473.086787228</v>
      </c>
      <c r="AO17" s="313">
        <f>'Demand calc &gt;&gt;&gt;'!M16*'Assumptions data'!$G17*'National data'!$H18*'National data'!$I18*$F17</f>
        <v>39657247.002142489</v>
      </c>
      <c r="AP17" s="313">
        <f>'Demand calc &gt;&gt;&gt;'!M16*'Assumptions data'!$I17*'National data'!$K18*'National data'!$L18*$H17</f>
        <v>24426889.496104389</v>
      </c>
      <c r="AQ17" s="197">
        <f>'Demand calc &gt;&gt;&gt;'!M16*'Assumptions data'!$J17*'National data'!$N18*'National data'!$O18*$J17</f>
        <v>29565609.406200413</v>
      </c>
      <c r="AR17" s="313">
        <f>'Demand calc &gt;&gt;&gt;'!N16*'Assumptions data'!$E17*'National data'!$E18*'National data'!$F18*D17</f>
        <v>658721.79535267339</v>
      </c>
      <c r="AS17" s="313">
        <f>'Demand calc &gt;&gt;&gt;'!N16*'Assumptions data'!$G17*'National data'!$H18*'National data'!$I18*$F17</f>
        <v>894611.97653732647</v>
      </c>
      <c r="AT17" s="313">
        <f>'Demand calc &gt;&gt;&gt;'!N16*'Assumptions data'!$I17*'National data'!$K18*'National data'!$L18*$H17</f>
        <v>551036.43204451934</v>
      </c>
      <c r="AU17" s="197">
        <f>'Demand calc &gt;&gt;&gt;'!N16*'Assumptions data'!$J17*'National data'!$N18*'National data'!$O18*$J17</f>
        <v>666958.75956751534</v>
      </c>
      <c r="AV17" s="313">
        <f>'Demand calc &gt;&gt;&gt;'!O16*'Assumptions data'!$E17*'National data'!$E18*'National data'!$F18*D17</f>
        <v>88914664.137600049</v>
      </c>
      <c r="AW17" s="313">
        <f>'Demand calc &gt;&gt;&gt;'!O16*'Assumptions data'!$G17*'National data'!$H18*'National data'!$I18*$F17</f>
        <v>120755262.67459199</v>
      </c>
      <c r="AX17" s="313">
        <f>'Demand calc &gt;&gt;&gt;'!O16*'Assumptions data'!$I17*'National data'!$K18*'National data'!$L18*$H17</f>
        <v>74379229.028832018</v>
      </c>
      <c r="AY17" s="197">
        <f>'Demand calc &gt;&gt;&gt;'!O16*'Assumptions data'!$J17*'National data'!$N18*'National data'!$O18*$J17</f>
        <v>90026494.521599993</v>
      </c>
    </row>
    <row r="18" spans="1:51">
      <c r="A18" s="9">
        <v>16</v>
      </c>
      <c r="B18" s="1" t="s">
        <v>388</v>
      </c>
      <c r="C18" s="1" t="s">
        <v>389</v>
      </c>
      <c r="D18" s="301">
        <f t="shared" si="0"/>
        <v>8.7468750000000046</v>
      </c>
      <c r="E18" s="313">
        <f>'Demand calc &gt;&gt;&gt;'!$E17*'Assumptions data'!$E18*'National data'!$E19*'National data'!$F19*D18</f>
        <v>418791696.59147513</v>
      </c>
      <c r="F18" s="301">
        <f t="shared" si="1"/>
        <v>97.47</v>
      </c>
      <c r="G18" s="313">
        <f>'Demand calc &gt;&gt;&gt;'!E17*'Assumptions data'!$G18*'National data'!$H19*'National data'!$I19*$F18</f>
        <v>568762215.07826769</v>
      </c>
      <c r="H18" s="301">
        <f t="shared" si="3"/>
        <v>45.027500000000003</v>
      </c>
      <c r="I18" s="313">
        <f>'Demand calc &gt;&gt;&gt;'!E17*'Assumptions data'!$I18*'National data'!$K19*'National data'!$L19*$H18</f>
        <v>350329204.05508298</v>
      </c>
      <c r="J18" s="323">
        <f t="shared" si="2"/>
        <v>31.142857142857142</v>
      </c>
      <c r="K18" s="197">
        <f>'Demand calc &gt;&gt;&gt;'!E17*'Assumptions data'!$J18*'National data'!$N19*'National data'!$O19*J18</f>
        <v>424028463.07261163</v>
      </c>
      <c r="L18" s="313">
        <f>'Demand calc &gt;&gt;&gt;'!$F17*'Assumptions data'!$E18*'National data'!$E19*'National data'!$F19*$D18</f>
        <v>78810974.3552811</v>
      </c>
      <c r="M18" s="313">
        <f>'Demand calc &gt;&gt;&gt;'!$F17*'Assumptions data'!$G18*'National data'!$H19*'National data'!$I19*$F18</f>
        <v>107033412.34225102</v>
      </c>
      <c r="N18" s="313">
        <f>'Demand calc &gt;&gt;&gt;'!$F17*'Assumptions data'!$I18*'National data'!$K19*'National data'!$L19*$H18</f>
        <v>65927252.47755833</v>
      </c>
      <c r="O18" s="197">
        <f>'Demand calc &gt;&gt;&gt;'!$F17*'Assumptions data'!$J18*'National data'!$N19*'National data'!$O19*$J18</f>
        <v>79796463.495129168</v>
      </c>
      <c r="P18" s="313">
        <f>'Demand calc &gt;&gt;&gt;'!$G17*'Assumptions data'!$E18*'National data'!$E19*'National data'!$F19*$D18</f>
        <v>92899388.888368234</v>
      </c>
      <c r="Q18" s="313">
        <f>'Demand calc &gt;&gt;&gt;'!$G17*'Assumptions data'!$G18*'National data'!$H19*'National data'!$I19*$F18</f>
        <v>126166928.88996802</v>
      </c>
      <c r="R18" s="313">
        <f>'Demand calc &gt;&gt;&gt;'!$G17*'Assumptions data'!$I18*'National data'!$K19*'National data'!$L19*$H18</f>
        <v>77712545.9538735</v>
      </c>
      <c r="S18" s="197">
        <f>'Demand calc &gt;&gt;&gt;'!$G17*'Assumptions data'!$J18*'National data'!$N19*'National data'!$O19*$J18</f>
        <v>94061046.127057999</v>
      </c>
      <c r="T18" s="313">
        <f>'Demand calc &gt;&gt;&gt;'!$H17*'Assumptions data'!$E18*'National data'!$E19*'National data'!$F19*$D18</f>
        <v>254182741.92385998</v>
      </c>
      <c r="U18" s="313">
        <f>'Demand calc &gt;&gt;&gt;'!$H17*'Assumptions data'!$G18*'National data'!$H19*'National data'!$I19*$F18</f>
        <v>345206317.38386065</v>
      </c>
      <c r="V18" s="313">
        <f>'Demand calc &gt;&gt;&gt;'!$H17*'Assumptions data'!$I18*'National data'!$K19*'National data'!$L19*$H18</f>
        <v>212629902.61621407</v>
      </c>
      <c r="W18" s="197">
        <f>'Demand calc &gt;&gt;&gt;'!$H17*'Assumptions data'!$J18*'National data'!$N19*'National data'!$O19*$J18</f>
        <v>257361161.34770229</v>
      </c>
      <c r="X18" s="313">
        <f>'Demand calc &gt;&gt;&gt;'!$I17*'Assumptions data'!$E18*'National data'!$E19*'National data'!$F19*$D18</f>
        <v>9431055.1737500001</v>
      </c>
      <c r="Y18" s="313">
        <f>'Demand calc &gt;&gt;&gt;'!$I17*'Assumptions data'!$G18*'National data'!$H19*'National data'!$I19*$F18</f>
        <v>12808343.323912492</v>
      </c>
      <c r="Z18" s="313">
        <f>'Demand calc &gt;&gt;&gt;'!$I17*'Assumptions data'!$I18*'National data'!$K19*'National data'!$L19*$H18</f>
        <v>7889301.7204263853</v>
      </c>
      <c r="AA18" s="197">
        <f>'Demand calc &gt;&gt;&gt;'!$I17*'Assumptions data'!$J18*'National data'!$N19*'National data'!$O19*$J18</f>
        <v>9548985.4813888837</v>
      </c>
      <c r="AB18" s="313">
        <f>'Demand calc &gt;&gt;&gt;'!$J17*'Assumptions data'!$E18*'National data'!$E19*'National data'!$F19*D18</f>
        <v>116644491.79322046</v>
      </c>
      <c r="AC18" s="313">
        <f>'Demand calc &gt;&gt;&gt;'!J17*'Assumptions data'!$G18*'National data'!$H19*'National data'!$I19*$F18</f>
        <v>158415221.8607797</v>
      </c>
      <c r="AD18" s="313">
        <f>'Demand calc &gt;&gt;&gt;'!J17*'Assumptions data'!$I18*'National data'!$K19*'National data'!$L19*$H18</f>
        <v>97575888.681457669</v>
      </c>
      <c r="AE18" s="197">
        <f>'Demand calc &gt;&gt;&gt;'!J17*'Assumptions data'!$J18*'National data'!$N19*'National data'!$O19*$J18</f>
        <v>118103068.86101699</v>
      </c>
      <c r="AF18" s="313">
        <f>'Demand calc &gt;&gt;&gt;'!$K17*'Assumptions data'!$E18*'National data'!$E19*'National data'!$F19*D18</f>
        <v>56134720.691980138</v>
      </c>
      <c r="AG18" s="313">
        <f>'Demand calc &gt;&gt;&gt;'!$K17*'Assumptions data'!$G18*'National data'!$H19*'National data'!$I19*$F18</f>
        <v>76236726.619522959</v>
      </c>
      <c r="AH18" s="313">
        <f>'Demand calc &gt;&gt;&gt;'!K17*'Assumptions data'!$I18*'National data'!$K19*'National data'!$L19*$H18</f>
        <v>46958027.534770638</v>
      </c>
      <c r="AI18" s="197">
        <f>'Demand calc &gt;&gt;&gt;'!K17*'Assumptions data'!$J18*'National data'!$N19*'National data'!$O19*$J18</f>
        <v>56836655.391594008</v>
      </c>
      <c r="AJ18" s="313">
        <f>'Demand calc &gt;&gt;&gt;'!L17*'Assumptions data'!$E18*'National data'!$E19*'National data'!$F19*D18</f>
        <v>21189236.396880459</v>
      </c>
      <c r="AK18" s="313">
        <f>'Demand calc &gt;&gt;&gt;'!L17*'Assumptions data'!$G18*'National data'!$H19*'National data'!$I19*$F18</f>
        <v>28777163.269936956</v>
      </c>
      <c r="AL18" s="313">
        <f>'Demand calc &gt;&gt;&gt;'!L17*'Assumptions data'!$I18*'National data'!$K19*'National data'!$L19*$H18</f>
        <v>17725299.670149263</v>
      </c>
      <c r="AM18" s="197">
        <f>'Demand calc &gt;&gt;&gt;'!L17*'Assumptions data'!$J18*'National data'!$N19*'National data'!$O19*$J18</f>
        <v>21454196.480442718</v>
      </c>
      <c r="AN18" s="313">
        <f>'Demand calc &gt;&gt;&gt;'!M17*'Assumptions data'!$E18*'National data'!$E19*'National data'!$F19*D18</f>
        <v>34719843.519490823</v>
      </c>
      <c r="AO18" s="313">
        <f>'Demand calc &gt;&gt;&gt;'!M17*'Assumptions data'!$G18*'National data'!$H19*'National data'!$I19*$F18</f>
        <v>47153119.959251866</v>
      </c>
      <c r="AP18" s="313">
        <f>'Demand calc &gt;&gt;&gt;'!M17*'Assumptions data'!$I18*'National data'!$K19*'National data'!$L19*$H18</f>
        <v>29043973.99494154</v>
      </c>
      <c r="AQ18" s="197">
        <f>'Demand calc &gt;&gt;&gt;'!M17*'Assumptions data'!$J18*'National data'!$N19*'National data'!$O19*$J18</f>
        <v>35153996.618162535</v>
      </c>
      <c r="AR18" s="313">
        <f>'Demand calc &gt;&gt;&gt;'!N17*'Assumptions data'!$E18*'National data'!$E19*'National data'!$F19*D18</f>
        <v>1356215.5498177451</v>
      </c>
      <c r="AS18" s="313">
        <f>'Demand calc &gt;&gt;&gt;'!N17*'Assumptions data'!$G18*'National data'!$H19*'National data'!$I19*$F18</f>
        <v>1841880.2629470115</v>
      </c>
      <c r="AT18" s="313">
        <f>'Demand calc &gt;&gt;&gt;'!N17*'Assumptions data'!$I18*'National data'!$K19*'National data'!$L19*$H18</f>
        <v>1134506.5290495753</v>
      </c>
      <c r="AU18" s="197">
        <f>'Demand calc &gt;&gt;&gt;'!N17*'Assumptions data'!$J18*'National data'!$N19*'National data'!$O19*$J18</f>
        <v>1373174.3008872764</v>
      </c>
      <c r="AV18" s="313">
        <f>'Demand calc &gt;&gt;&gt;'!O17*'Assumptions data'!$E18*'National data'!$E19*'National data'!$F19*D18</f>
        <v>88136097.65640004</v>
      </c>
      <c r="AW18" s="313">
        <f>'Demand calc &gt;&gt;&gt;'!O17*'Assumptions data'!$G18*'National data'!$H19*'National data'!$I19*$F18</f>
        <v>119697889.28338797</v>
      </c>
      <c r="AX18" s="313">
        <f>'Demand calc &gt;&gt;&gt;'!O17*'Assumptions data'!$I18*'National data'!$K19*'National data'!$L19*$H18</f>
        <v>73727939.669748008</v>
      </c>
      <c r="AY18" s="197">
        <f>'Demand calc &gt;&gt;&gt;'!O17*'Assumptions data'!$J18*'National data'!$N19*'National data'!$O19*$J18</f>
        <v>89238192.482399985</v>
      </c>
    </row>
    <row r="19" spans="1:51">
      <c r="A19" s="9">
        <v>17</v>
      </c>
      <c r="B19" s="1" t="s">
        <v>393</v>
      </c>
      <c r="C19" s="1" t="s">
        <v>394</v>
      </c>
      <c r="D19" s="301">
        <f t="shared" si="0"/>
        <v>8.7468750000000046</v>
      </c>
      <c r="E19" s="313">
        <f>'Demand calc &gt;&gt;&gt;'!$E18*'Assumptions data'!$E19*'National data'!$E20*'National data'!$F20*D19</f>
        <v>817390054.39033294</v>
      </c>
      <c r="F19" s="301">
        <f t="shared" si="1"/>
        <v>97.47</v>
      </c>
      <c r="G19" s="313">
        <f>'Demand calc &gt;&gt;&gt;'!E18*'Assumptions data'!$G19*'National data'!$H20*'National data'!$I20*$F19</f>
        <v>1110099798.3049669</v>
      </c>
      <c r="H19" s="301">
        <f t="shared" si="3"/>
        <v>45.027500000000003</v>
      </c>
      <c r="I19" s="313">
        <f>'Demand calc &gt;&gt;&gt;'!E18*'Assumptions data'!$I19*'National data'!$K20*'National data'!$L20*$H19</f>
        <v>683766200.44700122</v>
      </c>
      <c r="J19" s="323">
        <f t="shared" si="2"/>
        <v>31.142857142857142</v>
      </c>
      <c r="K19" s="197">
        <f>'Demand calc &gt;&gt;&gt;'!E18*'Assumptions data'!$J19*'National data'!$N20*'National data'!$O20*J19</f>
        <v>827611080.43665671</v>
      </c>
      <c r="L19" s="313">
        <f>'Demand calc &gt;&gt;&gt;'!$F18*'Assumptions data'!$E19*'National data'!$E20*'National data'!$F20*$D19</f>
        <v>220452802.40121296</v>
      </c>
      <c r="M19" s="313">
        <f>'Demand calc &gt;&gt;&gt;'!$F18*'Assumptions data'!$G19*'National data'!$H20*'National data'!$I20*$F19</f>
        <v>299397588.90739632</v>
      </c>
      <c r="N19" s="313">
        <f>'Demand calc &gt;&gt;&gt;'!$F18*'Assumptions data'!$I19*'National data'!$K20*'National data'!$L20*$H19</f>
        <v>184414006.8332518</v>
      </c>
      <c r="O19" s="197">
        <f>'Demand calc &gt;&gt;&gt;'!$F18*'Assumptions data'!$J19*'National data'!$N20*'National data'!$O20*$J19</f>
        <v>223209446.94713727</v>
      </c>
      <c r="P19" s="313">
        <f>'Demand calc &gt;&gt;&gt;'!$G18*'Assumptions data'!$E19*'National data'!$E20*'National data'!$F20*$D19</f>
        <v>168869603.54377353</v>
      </c>
      <c r="Q19" s="313">
        <f>'Demand calc &gt;&gt;&gt;'!$G18*'Assumptions data'!$G19*'National data'!$H20*'National data'!$I20*$F19</f>
        <v>229342297.2629697</v>
      </c>
      <c r="R19" s="313">
        <f>'Demand calc &gt;&gt;&gt;'!$G18*'Assumptions data'!$I19*'National data'!$K20*'National data'!$L20*$H19</f>
        <v>141263435.45033851</v>
      </c>
      <c r="S19" s="197">
        <f>'Demand calc &gt;&gt;&gt;'!$G18*'Assumptions data'!$J19*'National data'!$N20*'National data'!$O20*$J19</f>
        <v>170981227.7395691</v>
      </c>
      <c r="T19" s="313">
        <f>'Demand calc &gt;&gt;&gt;'!$H18*'Assumptions data'!$E19*'National data'!$E20*'National data'!$F20*$D19</f>
        <v>342234280.63780195</v>
      </c>
      <c r="U19" s="313">
        <f>'Demand calc &gt;&gt;&gt;'!$H18*'Assumptions data'!$G19*'National data'!$H20*'National data'!$I20*$F19</f>
        <v>464789366.92279208</v>
      </c>
      <c r="V19" s="313">
        <f>'Demand calc &gt;&gt;&gt;'!$H18*'Assumptions data'!$I19*'National data'!$K20*'National data'!$L20*$H19</f>
        <v>286287106.72160357</v>
      </c>
      <c r="W19" s="197">
        <f>'Demand calc &gt;&gt;&gt;'!$H18*'Assumptions data'!$J19*'National data'!$N20*'National data'!$O20*$J19</f>
        <v>346513737.52323341</v>
      </c>
      <c r="X19" s="313">
        <f>'Demand calc &gt;&gt;&gt;'!$I18*'Assumptions data'!$E19*'National data'!$E20*'National data'!$F20*$D19</f>
        <v>9586989.2651203163</v>
      </c>
      <c r="Y19" s="313">
        <f>'Demand calc &gt;&gt;&gt;'!$I18*'Assumptions data'!$G19*'National data'!$H20*'National data'!$I20*$F19</f>
        <v>13020117.864658732</v>
      </c>
      <c r="Z19" s="313">
        <f>'Demand calc &gt;&gt;&gt;'!$I18*'Assumptions data'!$I19*'National data'!$K20*'National data'!$L20*$H19</f>
        <v>8019744.2926154537</v>
      </c>
      <c r="AA19" s="197">
        <f>'Demand calc &gt;&gt;&gt;'!$I18*'Assumptions data'!$J19*'National data'!$N20*'National data'!$O20*$J19</f>
        <v>9706869.4452843722</v>
      </c>
      <c r="AB19" s="313">
        <f>'Demand calc &gt;&gt;&gt;'!$J18*'Assumptions data'!$E19*'National data'!$E20*'National data'!$F20*D19</f>
        <v>289698105.3371135</v>
      </c>
      <c r="AC19" s="313">
        <f>'Demand calc &gt;&gt;&gt;'!J18*'Assumptions data'!$G19*'National data'!$H20*'National data'!$I20*$F19</f>
        <v>393439835.21297932</v>
      </c>
      <c r="AD19" s="313">
        <f>'Demand calc &gt;&gt;&gt;'!J18*'Assumptions data'!$I19*'National data'!$K20*'National data'!$L20*$H19</f>
        <v>242339347.90263575</v>
      </c>
      <c r="AE19" s="197">
        <f>'Demand calc &gt;&gt;&gt;'!J18*'Assumptions data'!$J19*'National data'!$N20*'National data'!$O20*$J19</f>
        <v>293320625.4109965</v>
      </c>
      <c r="AF19" s="313">
        <f>'Demand calc &gt;&gt;&gt;'!$K18*'Assumptions data'!$E19*'National data'!$E20*'National data'!$F20*D19</f>
        <v>213863468.05937064</v>
      </c>
      <c r="AG19" s="313">
        <f>'Demand calc &gt;&gt;&gt;'!$K18*'Assumptions data'!$G19*'National data'!$H20*'National data'!$I20*$F19</f>
        <v>290448594.86892706</v>
      </c>
      <c r="AH19" s="313">
        <f>'Demand calc &gt;&gt;&gt;'!K18*'Assumptions data'!$I19*'National data'!$K20*'National data'!$L20*$H19</f>
        <v>178901872.10369846</v>
      </c>
      <c r="AI19" s="197">
        <f>'Demand calc &gt;&gt;&gt;'!K18*'Assumptions data'!$J19*'National data'!$N20*'National data'!$O20*$J19</f>
        <v>216537716.49884102</v>
      </c>
      <c r="AJ19" s="313">
        <f>'Demand calc &gt;&gt;&gt;'!L18*'Assumptions data'!$E19*'National data'!$E20*'National data'!$F20*D19</f>
        <v>43974771.175771423</v>
      </c>
      <c r="AK19" s="313">
        <f>'Demand calc &gt;&gt;&gt;'!L18*'Assumptions data'!$G19*'National data'!$H20*'National data'!$I20*$F19</f>
        <v>59722263.991995379</v>
      </c>
      <c r="AL19" s="313">
        <f>'Demand calc &gt;&gt;&gt;'!L18*'Assumptions data'!$I19*'National data'!$K20*'National data'!$L20*$H19</f>
        <v>36785940.862481758</v>
      </c>
      <c r="AM19" s="197">
        <f>'Demand calc &gt;&gt;&gt;'!L18*'Assumptions data'!$J19*'National data'!$N20*'National data'!$O20*$J19</f>
        <v>44524652.201549172</v>
      </c>
      <c r="AN19" s="313">
        <f>'Demand calc &gt;&gt;&gt;'!M18*'Assumptions data'!$E19*'National data'!$E20*'National data'!$F20*D19</f>
        <v>39378677.127364367</v>
      </c>
      <c r="AO19" s="313">
        <f>'Demand calc &gt;&gt;&gt;'!M18*'Assumptions data'!$G19*'National data'!$H20*'National data'!$I20*$F19</f>
        <v>53480295.364260055</v>
      </c>
      <c r="AP19" s="313">
        <f>'Demand calc &gt;&gt;&gt;'!M18*'Assumptions data'!$I19*'National data'!$K20*'National data'!$L20*$H19</f>
        <v>32941198.994756956</v>
      </c>
      <c r="AQ19" s="197">
        <f>'Demand calc &gt;&gt;&gt;'!M18*'Assumptions data'!$J19*'National data'!$N20*'National data'!$O20*$J19</f>
        <v>39871086.451929457</v>
      </c>
      <c r="AR19" s="313">
        <f>'Demand calc &gt;&gt;&gt;'!N18*'Assumptions data'!$E19*'National data'!$E20*'National data'!$F20*D19</f>
        <v>2314836.1936468533</v>
      </c>
      <c r="AS19" s="313">
        <f>'Demand calc &gt;&gt;&gt;'!N18*'Assumptions data'!$G19*'National data'!$H20*'National data'!$I20*$F19</f>
        <v>3143785.7334746653</v>
      </c>
      <c r="AT19" s="313">
        <f>'Demand calc &gt;&gt;&gt;'!N18*'Assumptions data'!$I19*'National data'!$K20*'National data'!$L20*$H19</f>
        <v>1936415.4729869773</v>
      </c>
      <c r="AU19" s="197">
        <f>'Demand calc &gt;&gt;&gt;'!N18*'Assumptions data'!$J19*'National data'!$N20*'National data'!$O20*$J19</f>
        <v>2343781.983849653</v>
      </c>
      <c r="AV19" s="313">
        <f>'Demand calc &gt;&gt;&gt;'!O18*'Assumptions data'!$E19*'National data'!$E20*'National data'!$F20*D19</f>
        <v>186221371.80600008</v>
      </c>
      <c r="AW19" s="313">
        <f>'Demand calc &gt;&gt;&gt;'!O18*'Assumptions data'!$G19*'National data'!$H20*'National data'!$I20*$F19</f>
        <v>252907783.95401993</v>
      </c>
      <c r="AX19" s="313">
        <f>'Demand calc &gt;&gt;&gt;'!O18*'Assumptions data'!$I19*'National data'!$K20*'National data'!$L20*$H19</f>
        <v>155778601.85342002</v>
      </c>
      <c r="AY19" s="197">
        <f>'Demand calc &gt;&gt;&gt;'!O18*'Assumptions data'!$J19*'National data'!$N20*'National data'!$O20*$J19</f>
        <v>188549970.59599996</v>
      </c>
    </row>
    <row r="20" spans="1:51">
      <c r="A20" s="9">
        <v>18</v>
      </c>
      <c r="B20" s="1" t="s">
        <v>398</v>
      </c>
      <c r="C20" s="1" t="s">
        <v>399</v>
      </c>
      <c r="D20" s="301">
        <f t="shared" si="0"/>
        <v>8.7468750000000046</v>
      </c>
      <c r="E20" s="313">
        <f>'Demand calc &gt;&gt;&gt;'!$E19*'Assumptions data'!$E20*'National data'!$E21*'National data'!$F21*D20</f>
        <v>712000328.47422779</v>
      </c>
      <c r="F20" s="301">
        <f t="shared" si="1"/>
        <v>97.47</v>
      </c>
      <c r="G20" s="313">
        <f>'Demand calc &gt;&gt;&gt;'!E19*'Assumptions data'!$G20*'National data'!$H21*'National data'!$I21*$F20</f>
        <v>966969706.55195963</v>
      </c>
      <c r="H20" s="301">
        <f t="shared" si="3"/>
        <v>45.027500000000003</v>
      </c>
      <c r="I20" s="313">
        <f>'Demand calc &gt;&gt;&gt;'!E19*'Assumptions data'!$I20*'National data'!$K21*'National data'!$L21*$H20</f>
        <v>595605190.8179388</v>
      </c>
      <c r="J20" s="323">
        <f t="shared" si="2"/>
        <v>31.142857142857142</v>
      </c>
      <c r="K20" s="197">
        <f>'Demand calc &gt;&gt;&gt;'!E19*'Assumptions data'!$J20*'National data'!$N21*'National data'!$O21*J20</f>
        <v>720903512.28866029</v>
      </c>
      <c r="L20" s="313">
        <f>'Demand calc &gt;&gt;&gt;'!$F19*'Assumptions data'!$E20*'National data'!$E21*'National data'!$F21*$D20</f>
        <v>251305569.02471939</v>
      </c>
      <c r="M20" s="313">
        <f>'Demand calc &gt;&gt;&gt;'!$F19*'Assumptions data'!$G20*'National data'!$H21*'National data'!$I21*$F20</f>
        <v>341298820.54331404</v>
      </c>
      <c r="N20" s="313">
        <f>'Demand calc &gt;&gt;&gt;'!$F19*'Assumptions data'!$I20*'National data'!$K21*'National data'!$L21*$H20</f>
        <v>210223079.1288133</v>
      </c>
      <c r="O20" s="197">
        <f>'Demand calc &gt;&gt;&gt;'!$F19*'Assumptions data'!$J20*'National data'!$N21*'National data'!$O21*$J20</f>
        <v>254448010.93821162</v>
      </c>
      <c r="P20" s="313">
        <f>'Demand calc &gt;&gt;&gt;'!$G19*'Assumptions data'!$E20*'National data'!$E21*'National data'!$F21*$D20</f>
        <v>118662892.52727272</v>
      </c>
      <c r="Q20" s="313">
        <f>'Demand calc &gt;&gt;&gt;'!$G19*'Assumptions data'!$G20*'National data'!$H21*'National data'!$I21*$F20</f>
        <v>161156417.73872718</v>
      </c>
      <c r="R20" s="313">
        <f>'Demand calc &gt;&gt;&gt;'!$G19*'Assumptions data'!$I20*'National data'!$K21*'National data'!$L21*$H20</f>
        <v>99264328.849636316</v>
      </c>
      <c r="S20" s="197">
        <f>'Demand calc &gt;&gt;&gt;'!$G19*'Assumptions data'!$J20*'National data'!$N21*'National data'!$O21*$J20</f>
        <v>120146708.61818174</v>
      </c>
      <c r="T20" s="313">
        <f>'Demand calc &gt;&gt;&gt;'!$H19*'Assumptions data'!$E20*'National data'!$E21*'National data'!$F21*$D20</f>
        <v>341846207.5012725</v>
      </c>
      <c r="U20" s="313">
        <f>'Demand calc &gt;&gt;&gt;'!$H19*'Assumptions data'!$G20*'National data'!$H21*'National data'!$I21*$F20</f>
        <v>464262323.6730302</v>
      </c>
      <c r="V20" s="313">
        <f>'Demand calc &gt;&gt;&gt;'!$H19*'Assumptions data'!$I20*'National data'!$K21*'National data'!$L21*$H20</f>
        <v>285962474.3228668</v>
      </c>
      <c r="W20" s="197">
        <f>'Demand calc &gt;&gt;&gt;'!$H19*'Assumptions data'!$J20*'National data'!$N21*'National data'!$O21*$J20</f>
        <v>346120811.73940897</v>
      </c>
      <c r="X20" s="313">
        <f>'Demand calc &gt;&gt;&gt;'!$I19*'Assumptions data'!$E20*'National data'!$E21*'National data'!$F21*$D20</f>
        <v>8305419.3543529371</v>
      </c>
      <c r="Y20" s="313">
        <f>'Demand calc &gt;&gt;&gt;'!$I19*'Assumptions data'!$G20*'National data'!$H21*'National data'!$I21*$F20</f>
        <v>11279614.060122339</v>
      </c>
      <c r="Z20" s="313">
        <f>'Demand calc &gt;&gt;&gt;'!$I19*'Assumptions data'!$I20*'National data'!$K21*'National data'!$L21*$H20</f>
        <v>6947680.6140988162</v>
      </c>
      <c r="AA20" s="197">
        <f>'Demand calc &gt;&gt;&gt;'!$I19*'Assumptions data'!$J20*'National data'!$N21*'National data'!$O21*$J20</f>
        <v>8409274.1872941088</v>
      </c>
      <c r="AB20" s="313">
        <f>'Demand calc &gt;&gt;&gt;'!$J19*'Assumptions data'!$E20*'National data'!$E21*'National data'!$F21*D20</f>
        <v>277615195.85183841</v>
      </c>
      <c r="AC20" s="313">
        <f>'Demand calc &gt;&gt;&gt;'!J19*'Assumptions data'!$G20*'National data'!$H21*'National data'!$I21*$F20</f>
        <v>377030000.87440813</v>
      </c>
      <c r="AD20" s="313">
        <f>'Demand calc &gt;&gt;&gt;'!J19*'Assumptions data'!$I20*'National data'!$K21*'National data'!$L21*$H20</f>
        <v>232231707.04657722</v>
      </c>
      <c r="AE20" s="197">
        <f>'Demand calc &gt;&gt;&gt;'!J19*'Assumptions data'!$J20*'National data'!$N21*'National data'!$O21*$J20</f>
        <v>281086625.59632355</v>
      </c>
      <c r="AF20" s="313">
        <f>'Demand calc &gt;&gt;&gt;'!$K19*'Assumptions data'!$E20*'National data'!$E21*'National data'!$F21*D20</f>
        <v>203292958.16095528</v>
      </c>
      <c r="AG20" s="313">
        <f>'Demand calc &gt;&gt;&gt;'!$K19*'Assumptions data'!$G20*'National data'!$H21*'National data'!$I21*$F20</f>
        <v>276092754.78598917</v>
      </c>
      <c r="AH20" s="313">
        <f>'Demand calc &gt;&gt;&gt;'!K19*'Assumptions data'!$I20*'National data'!$K21*'National data'!$L21*$H20</f>
        <v>170059389.43437129</v>
      </c>
      <c r="AI20" s="197">
        <f>'Demand calc &gt;&gt;&gt;'!K19*'Assumptions data'!$J20*'National data'!$N21*'National data'!$O21*$J20</f>
        <v>205835028.02005962</v>
      </c>
      <c r="AJ20" s="313">
        <f>'Demand calc &gt;&gt;&gt;'!L19*'Assumptions data'!$E20*'National data'!$E21*'National data'!$F21*D20</f>
        <v>53516964.529799953</v>
      </c>
      <c r="AK20" s="313">
        <f>'Demand calc &gt;&gt;&gt;'!L19*'Assumptions data'!$G20*'National data'!$H21*'National data'!$I21*$F20</f>
        <v>72681544.400165886</v>
      </c>
      <c r="AL20" s="313">
        <f>'Demand calc &gt;&gt;&gt;'!L19*'Assumptions data'!$I20*'National data'!$K21*'National data'!$L21*$H20</f>
        <v>44768212.311185941</v>
      </c>
      <c r="AM20" s="197">
        <f>'Demand calc &gt;&gt;&gt;'!L19*'Assumptions data'!$J20*'National data'!$N21*'National data'!$O21*$J20</f>
        <v>54186165.58679992</v>
      </c>
      <c r="AN20" s="313">
        <f>'Demand calc &gt;&gt;&gt;'!M19*'Assumptions data'!$E20*'National data'!$E21*'National data'!$F21*D20</f>
        <v>37268387.026091985</v>
      </c>
      <c r="AO20" s="313">
        <f>'Demand calc &gt;&gt;&gt;'!M19*'Assumptions data'!$G20*'National data'!$H21*'National data'!$I21*$F20</f>
        <v>50614304.270773187</v>
      </c>
      <c r="AP20" s="313">
        <f>'Demand calc &gt;&gt;&gt;'!M19*'Assumptions data'!$I20*'National data'!$K21*'National data'!$L21*$H20</f>
        <v>31175891.187746525</v>
      </c>
      <c r="AQ20" s="197">
        <f>'Demand calc &gt;&gt;&gt;'!M19*'Assumptions data'!$J20*'National data'!$N21*'National data'!$O21*$J20</f>
        <v>37734408.300087392</v>
      </c>
      <c r="AR20" s="313">
        <f>'Demand calc &gt;&gt;&gt;'!N19*'Assumptions data'!$E20*'National data'!$E21*'National data'!$F21*D20</f>
        <v>1945012.8364497148</v>
      </c>
      <c r="AS20" s="313">
        <f>'Demand calc &gt;&gt;&gt;'!N19*'Assumptions data'!$G20*'National data'!$H21*'National data'!$I21*$F20</f>
        <v>2641527.5618368667</v>
      </c>
      <c r="AT20" s="313">
        <f>'Demand calc &gt;&gt;&gt;'!N19*'Assumptions data'!$I20*'National data'!$K21*'National data'!$L21*$H20</f>
        <v>1627049.4482488222</v>
      </c>
      <c r="AU20" s="197">
        <f>'Demand calc &gt;&gt;&gt;'!N19*'Assumptions data'!$J20*'National data'!$N21*'National data'!$O21*$J20</f>
        <v>1969334.1831005674</v>
      </c>
      <c r="AV20" s="313">
        <f>'Demand calc &gt;&gt;&gt;'!O19*'Assumptions data'!$E20*'National data'!$E21*'National data'!$F21*D20</f>
        <v>208479003.01200014</v>
      </c>
      <c r="AW20" s="313">
        <f>'Demand calc &gt;&gt;&gt;'!O19*'Assumptions data'!$G20*'National data'!$H21*'National data'!$I21*$F20</f>
        <v>283135937.30603999</v>
      </c>
      <c r="AX20" s="313">
        <f>'Demand calc &gt;&gt;&gt;'!O19*'Assumptions data'!$I20*'National data'!$K21*'National data'!$L21*$H20</f>
        <v>174397639.16484004</v>
      </c>
      <c r="AY20" s="197">
        <f>'Demand calc &gt;&gt;&gt;'!O19*'Assumptions data'!$J20*'National data'!$N21*'National data'!$O21*$J20</f>
        <v>211085921.59199998</v>
      </c>
    </row>
    <row r="21" spans="1:51">
      <c r="A21" s="9">
        <v>19</v>
      </c>
      <c r="B21" s="1" t="s">
        <v>403</v>
      </c>
      <c r="C21" s="1" t="s">
        <v>404</v>
      </c>
      <c r="D21" s="301">
        <f t="shared" si="0"/>
        <v>8.7468750000000046</v>
      </c>
      <c r="E21" s="313">
        <f>'Demand calc &gt;&gt;&gt;'!$E20*'Assumptions data'!$E21*'National data'!$E22*'National data'!$F22*D21</f>
        <v>224784475.2201342</v>
      </c>
      <c r="F21" s="301">
        <f t="shared" si="1"/>
        <v>97.47</v>
      </c>
      <c r="G21" s="313">
        <f>'Demand calc &gt;&gt;&gt;'!E20*'Assumptions data'!$G21*'National data'!$H22*'National data'!$I22*$F21</f>
        <v>305280446.29816085</v>
      </c>
      <c r="H21" s="301">
        <f t="shared" si="3"/>
        <v>45.027500000000003</v>
      </c>
      <c r="I21" s="313">
        <f>'Demand calc &gt;&gt;&gt;'!E20*'Assumptions data'!$I21*'National data'!$K22*'National data'!$L22*$H21</f>
        <v>188037554.0602639</v>
      </c>
      <c r="J21" s="323">
        <f t="shared" si="2"/>
        <v>31.142857142857142</v>
      </c>
      <c r="K21" s="197">
        <f>'Demand calc &gt;&gt;&gt;'!E20*'Assumptions data'!$J21*'National data'!$N22*'National data'!$O22*J21</f>
        <v>227595285.02102891</v>
      </c>
      <c r="L21" s="313">
        <f>'Demand calc &gt;&gt;&gt;'!$F20*'Assumptions data'!$E21*'National data'!$E22*'National data'!$F22*$D21</f>
        <v>36204396.814712606</v>
      </c>
      <c r="M21" s="313">
        <f>'Demand calc &gt;&gt;&gt;'!$F20*'Assumptions data'!$G21*'National data'!$H22*'National data'!$I22*$F21</f>
        <v>49169296.085627496</v>
      </c>
      <c r="N21" s="313">
        <f>'Demand calc &gt;&gt;&gt;'!$F20*'Assumptions data'!$I21*'National data'!$K22*'National data'!$L22*$H21</f>
        <v>30285838.097132009</v>
      </c>
      <c r="O21" s="197">
        <f>'Demand calc &gt;&gt;&gt;'!$F20*'Assumptions data'!$J21*'National data'!$N22*'National data'!$O22*$J21</f>
        <v>36657113.459412448</v>
      </c>
      <c r="P21" s="313">
        <f>'Demand calc &gt;&gt;&gt;'!$G20*'Assumptions data'!$E21*'National data'!$E22*'National data'!$F22*$D21</f>
        <v>33963163.643115021</v>
      </c>
      <c r="Q21" s="313">
        <f>'Demand calc &gt;&gt;&gt;'!$G20*'Assumptions data'!$G21*'National data'!$H22*'National data'!$I22*$F21</f>
        <v>46125470.829397045</v>
      </c>
      <c r="R21" s="313">
        <f>'Demand calc &gt;&gt;&gt;'!$G20*'Assumptions data'!$I21*'National data'!$K22*'National data'!$L22*$H21</f>
        <v>28410993.300785553</v>
      </c>
      <c r="S21" s="197">
        <f>'Demand calc &gt;&gt;&gt;'!$G20*'Assumptions data'!$J21*'National data'!$N22*'National data'!$O22*$J21</f>
        <v>34387854.864090003</v>
      </c>
      <c r="T21" s="313">
        <f>'Demand calc &gt;&gt;&gt;'!$H20*'Assumptions data'!$E21*'National data'!$E22*'National data'!$F22*$D21</f>
        <v>99371470.312535957</v>
      </c>
      <c r="U21" s="313">
        <f>'Demand calc &gt;&gt;&gt;'!$H20*'Assumptions data'!$G21*'National data'!$H22*'National data'!$I22*$F21</f>
        <v>134956681.40162629</v>
      </c>
      <c r="V21" s="313">
        <f>'Demand calc &gt;&gt;&gt;'!$H20*'Assumptions data'!$I21*'National data'!$K22*'National data'!$L22*$H21</f>
        <v>83126595.832040355</v>
      </c>
      <c r="W21" s="197">
        <f>'Demand calc &gt;&gt;&gt;'!$H20*'Assumptions data'!$J21*'National data'!$N22*'National data'!$O22*$J21</f>
        <v>100614057.47257116</v>
      </c>
      <c r="X21" s="313">
        <f>'Demand calc &gt;&gt;&gt;'!$I20*'Assumptions data'!$E21*'National data'!$E22*'National data'!$F22*$D21</f>
        <v>429014.02778181882</v>
      </c>
      <c r="Y21" s="313">
        <f>'Demand calc &gt;&gt;&gt;'!$I20*'Assumptions data'!$G21*'National data'!$H22*'National data'!$I22*$F21</f>
        <v>582645.19265018241</v>
      </c>
      <c r="Z21" s="313">
        <f>'Demand calc &gt;&gt;&gt;'!$I20*'Assumptions data'!$I21*'National data'!$K22*'National data'!$L22*$H21</f>
        <v>358880.42696290946</v>
      </c>
      <c r="AA21" s="197">
        <f>'Demand calc &gt;&gt;&gt;'!$I20*'Assumptions data'!$J21*'National data'!$N22*'National data'!$O22*$J21</f>
        <v>434378.61905454582</v>
      </c>
      <c r="AB21" s="313">
        <f>'Demand calc &gt;&gt;&gt;'!$J20*'Assumptions data'!$E21*'National data'!$E22*'National data'!$F22*D21</f>
        <v>60701892.469437748</v>
      </c>
      <c r="AC21" s="313">
        <f>'Demand calc &gt;&gt;&gt;'!J20*'Assumptions data'!$G21*'National data'!$H22*'National data'!$I22*$F21</f>
        <v>82439415.827383921</v>
      </c>
      <c r="AD21" s="313">
        <f>'Demand calc &gt;&gt;&gt;'!J20*'Assumptions data'!$I21*'National data'!$K22*'National data'!$L22*$H21</f>
        <v>50778575.235696882</v>
      </c>
      <c r="AE21" s="197">
        <f>'Demand calc &gt;&gt;&gt;'!J20*'Assumptions data'!$J21*'National data'!$N22*'National data'!$O22*$J21</f>
        <v>61460937.212713987</v>
      </c>
      <c r="AF21" s="313">
        <f>'Demand calc &gt;&gt;&gt;'!$K20*'Assumptions data'!$E21*'National data'!$E22*'National data'!$F22*D21</f>
        <v>48048390.123799324</v>
      </c>
      <c r="AG21" s="313">
        <f>'Demand calc &gt;&gt;&gt;'!$K20*'Assumptions data'!$G21*'National data'!$H22*'National data'!$I22*$F21</f>
        <v>65254657.673919968</v>
      </c>
      <c r="AH21" s="313">
        <f>'Demand calc &gt;&gt;&gt;'!K20*'Assumptions data'!$I21*'National data'!$K22*'National data'!$L22*$H21</f>
        <v>40193619.895522468</v>
      </c>
      <c r="AI21" s="197">
        <f>'Demand calc &gt;&gt;&gt;'!K20*'Assumptions data'!$J21*'National data'!$N22*'National data'!$O22*$J21</f>
        <v>48649209.578723542</v>
      </c>
      <c r="AJ21" s="313">
        <f>'Demand calc &gt;&gt;&gt;'!L20*'Assumptions data'!$E21*'National data'!$E22*'National data'!$F22*D21</f>
        <v>19790829.042335588</v>
      </c>
      <c r="AK21" s="313">
        <f>'Demand calc &gt;&gt;&gt;'!L20*'Assumptions data'!$G21*'National data'!$H22*'National data'!$I22*$F21</f>
        <v>26877982.194891568</v>
      </c>
      <c r="AL21" s="313">
        <f>'Demand calc &gt;&gt;&gt;'!L20*'Assumptions data'!$I21*'National data'!$K22*'National data'!$L22*$H21</f>
        <v>16555498.69403208</v>
      </c>
      <c r="AM21" s="197">
        <f>'Demand calc &gt;&gt;&gt;'!L20*'Assumptions data'!$J21*'National data'!$N22*'National data'!$O22*$J21</f>
        <v>20038302.788845666</v>
      </c>
      <c r="AN21" s="313">
        <f>'Demand calc &gt;&gt;&gt;'!M20*'Assumptions data'!$E21*'National data'!$E22*'National data'!$F22*D21</f>
        <v>13238493.736224426</v>
      </c>
      <c r="AO21" s="313">
        <f>'Demand calc &gt;&gt;&gt;'!M20*'Assumptions data'!$G21*'National data'!$H22*'National data'!$I22*$F21</f>
        <v>17979236.653919958</v>
      </c>
      <c r="AP21" s="313">
        <f>'Demand calc &gt;&gt;&gt;'!M20*'Assumptions data'!$I21*'National data'!$K22*'National data'!$L22*$H21</f>
        <v>11074314.536908876</v>
      </c>
      <c r="AQ21" s="197">
        <f>'Demand calc &gt;&gt;&gt;'!M20*'Assumptions data'!$J21*'National data'!$N22*'National data'!$O22*$J21</f>
        <v>13404034.029460521</v>
      </c>
      <c r="AR21" s="313">
        <f>'Demand calc &gt;&gt;&gt;'!N20*'Assumptions data'!$E21*'National data'!$E22*'National data'!$F22*D21</f>
        <v>698970.7889927373</v>
      </c>
      <c r="AS21" s="313">
        <f>'Demand calc &gt;&gt;&gt;'!N20*'Assumptions data'!$G21*'National data'!$H22*'National data'!$I22*$F21</f>
        <v>949274.25127608434</v>
      </c>
      <c r="AT21" s="313">
        <f>'Demand calc &gt;&gt;&gt;'!N20*'Assumptions data'!$I21*'National data'!$K22*'National data'!$L22*$H21</f>
        <v>584705.67147955135</v>
      </c>
      <c r="AU21" s="197">
        <f>'Demand calc &gt;&gt;&gt;'!N20*'Assumptions data'!$J21*'National data'!$N22*'National data'!$O22*$J21</f>
        <v>707711.04537528264</v>
      </c>
      <c r="AV21" s="313">
        <f>'Demand calc &gt;&gt;&gt;'!O20*'Assumptions data'!$E21*'National data'!$E22*'National data'!$F22*D21</f>
        <v>42865651.609200023</v>
      </c>
      <c r="AW21" s="313">
        <f>'Demand calc &gt;&gt;&gt;'!O20*'Assumptions data'!$G21*'National data'!$H22*'National data'!$I22*$F21</f>
        <v>58215965.498963989</v>
      </c>
      <c r="AX21" s="313">
        <f>'Demand calc &gt;&gt;&gt;'!O20*'Assumptions data'!$I21*'National data'!$K22*'National data'!$L22*$H21</f>
        <v>35858135.994043998</v>
      </c>
      <c r="AY21" s="197">
        <f>'Demand calc &gt;&gt;&gt;'!O20*'Assumptions data'!$J21*'National data'!$N22*'National data'!$O22*$J21</f>
        <v>43401663.687199995</v>
      </c>
    </row>
    <row r="22" spans="1:51">
      <c r="A22" s="9">
        <v>20</v>
      </c>
      <c r="B22" s="1" t="s">
        <v>408</v>
      </c>
      <c r="C22" s="1" t="s">
        <v>409</v>
      </c>
      <c r="D22" s="301">
        <f t="shared" si="0"/>
        <v>8.7468750000000046</v>
      </c>
      <c r="E22" s="313">
        <f>'Demand calc &gt;&gt;&gt;'!$E21*'Assumptions data'!$E22*'National data'!$E23*'National data'!$F23*D22</f>
        <v>798980886.30050051</v>
      </c>
      <c r="F22" s="301">
        <f t="shared" si="1"/>
        <v>97.47</v>
      </c>
      <c r="G22" s="313">
        <f>'Demand calc &gt;&gt;&gt;'!E21*'Assumptions data'!$G22*'National data'!$H23*'National data'!$I23*$F22</f>
        <v>1085098253.8480456</v>
      </c>
      <c r="H22" s="301">
        <f t="shared" si="3"/>
        <v>45.027500000000003</v>
      </c>
      <c r="I22" s="313">
        <f>'Demand calc &gt;&gt;&gt;'!E21*'Assumptions data'!$I22*'National data'!$K23*'National data'!$L23*$H22</f>
        <v>668366493.96590924</v>
      </c>
      <c r="J22" s="323">
        <f t="shared" si="2"/>
        <v>31.142857142857142</v>
      </c>
      <c r="K22" s="197">
        <f>'Demand calc &gt;&gt;&gt;'!E21*'Assumptions data'!$J22*'National data'!$N23*'National data'!$O23*J22</f>
        <v>808971715.53255343</v>
      </c>
      <c r="L22" s="313">
        <f>'Demand calc &gt;&gt;&gt;'!$F21*'Assumptions data'!$E22*'National data'!$E23*'National data'!$F23*$D22</f>
        <v>170416401.30780107</v>
      </c>
      <c r="M22" s="313">
        <f>'Demand calc &gt;&gt;&gt;'!$F21*'Assumptions data'!$G22*'National data'!$H23*'National data'!$I23*$F22</f>
        <v>231443007.78255916</v>
      </c>
      <c r="N22" s="313">
        <f>'Demand calc &gt;&gt;&gt;'!$F21*'Assumptions data'!$I22*'National data'!$K23*'National data'!$L23*$H22</f>
        <v>142557368.52951929</v>
      </c>
      <c r="O22" s="197">
        <f>'Demand calc &gt;&gt;&gt;'!$F21*'Assumptions data'!$J22*'National data'!$N23*'National data'!$O23*$J22</f>
        <v>172547367.38346121</v>
      </c>
      <c r="P22" s="313">
        <f>'Demand calc &gt;&gt;&gt;'!$G21*'Assumptions data'!$E22*'National data'!$E23*'National data'!$F23*$D22</f>
        <v>147189042.94047961</v>
      </c>
      <c r="Q22" s="313">
        <f>'Demand calc &gt;&gt;&gt;'!$G21*'Assumptions data'!$G22*'National data'!$H23*'National data'!$I23*$F22</f>
        <v>199897865.16646409</v>
      </c>
      <c r="R22" s="313">
        <f>'Demand calc &gt;&gt;&gt;'!$G21*'Assumptions data'!$I22*'National data'!$K23*'National data'!$L23*$H22</f>
        <v>123127131.40840551</v>
      </c>
      <c r="S22" s="197">
        <f>'Demand calc &gt;&gt;&gt;'!$G21*'Assumptions data'!$J22*'National data'!$N23*'National data'!$O23*$J22</f>
        <v>149029563.30593747</v>
      </c>
      <c r="T22" s="313">
        <f>'Demand calc &gt;&gt;&gt;'!$H21*'Assumptions data'!$E22*'National data'!$E23*'National data'!$F23*$D22</f>
        <v>510963071.72916609</v>
      </c>
      <c r="U22" s="313">
        <f>'Demand calc &gt;&gt;&gt;'!$H21*'Assumptions data'!$G22*'National data'!$H23*'National data'!$I23*$F22</f>
        <v>693940426.38664865</v>
      </c>
      <c r="V22" s="313">
        <f>'Demand calc &gt;&gt;&gt;'!$H21*'Assumptions data'!$I22*'National data'!$K23*'National data'!$L23*$H22</f>
        <v>427432749.21001095</v>
      </c>
      <c r="W22" s="197">
        <f>'Demand calc &gt;&gt;&gt;'!$H21*'Assumptions data'!$J22*'National data'!$N23*'National data'!$O23*$J22</f>
        <v>517352392.0258863</v>
      </c>
      <c r="X22" s="313">
        <f>'Demand calc &gt;&gt;&gt;'!$I21*'Assumptions data'!$E22*'National data'!$E23*'National data'!$F23*$D22</f>
        <v>15339408.68250001</v>
      </c>
      <c r="Y22" s="313">
        <f>'Demand calc &gt;&gt;&gt;'!$I21*'Assumptions data'!$G22*'National data'!$H23*'National data'!$I23*$F22</f>
        <v>20832495.322275002</v>
      </c>
      <c r="Z22" s="313">
        <f>'Demand calc &gt;&gt;&gt;'!$I21*'Assumptions data'!$I22*'National data'!$K23*'National data'!$L23*$H22</f>
        <v>12831779.804025004</v>
      </c>
      <c r="AA22" s="197">
        <f>'Demand calc &gt;&gt;&gt;'!$I21*'Assumptions data'!$J22*'National data'!$N23*'National data'!$O23*$J22</f>
        <v>15531219.794999998</v>
      </c>
      <c r="AB22" s="313">
        <f>'Demand calc &gt;&gt;&gt;'!$J21*'Assumptions data'!$E22*'National data'!$E23*'National data'!$F23*D22</f>
        <v>153305534.03606552</v>
      </c>
      <c r="AC22" s="313">
        <f>'Demand calc &gt;&gt;&gt;'!J21*'Assumptions data'!$G22*'National data'!$H23*'National data'!$I23*$F22</f>
        <v>208204689.42383587</v>
      </c>
      <c r="AD22" s="313">
        <f>'Demand calc &gt;&gt;&gt;'!J21*'Assumptions data'!$I22*'National data'!$K23*'National data'!$L23*$H22</f>
        <v>128243721.52842613</v>
      </c>
      <c r="AE22" s="197">
        <f>'Demand calc &gt;&gt;&gt;'!J21*'Assumptions data'!$J22*'National data'!$N23*'National data'!$O23*$J22</f>
        <v>155222537.85573757</v>
      </c>
      <c r="AF22" s="313">
        <f>'Demand calc &gt;&gt;&gt;'!$K21*'Assumptions data'!$E22*'National data'!$E23*'National data'!$F23*D22</f>
        <v>135681588.9672775</v>
      </c>
      <c r="AG22" s="313">
        <f>'Demand calc &gt;&gt;&gt;'!$K21*'Assumptions data'!$G22*'National data'!$H23*'National data'!$I23*$F22</f>
        <v>184269558.62414455</v>
      </c>
      <c r="AH22" s="313">
        <f>'Demand calc &gt;&gt;&gt;'!K21*'Assumptions data'!$I22*'National data'!$K23*'National data'!$L23*$H22</f>
        <v>113500872.76014733</v>
      </c>
      <c r="AI22" s="197">
        <f>'Demand calc &gt;&gt;&gt;'!K21*'Assumptions data'!$J22*'National data'!$N23*'National data'!$O23*$J22</f>
        <v>137378214.76715404</v>
      </c>
      <c r="AJ22" s="313">
        <f>'Demand calc &gt;&gt;&gt;'!L21*'Assumptions data'!$E22*'National data'!$E23*'National data'!$F23*D22</f>
        <v>38816445.643500924</v>
      </c>
      <c r="AK22" s="313">
        <f>'Demand calc &gt;&gt;&gt;'!L21*'Assumptions data'!$G22*'National data'!$H23*'National data'!$I23*$F22</f>
        <v>52716727.15898867</v>
      </c>
      <c r="AL22" s="313">
        <f>'Demand calc &gt;&gt;&gt;'!L21*'Assumptions data'!$I22*'National data'!$K23*'National data'!$L23*$H22</f>
        <v>32470879.00073681</v>
      </c>
      <c r="AM22" s="197">
        <f>'Demand calc &gt;&gt;&gt;'!L21*'Assumptions data'!$J22*'National data'!$N23*'National data'!$O23*$J22</f>
        <v>39301824.563658997</v>
      </c>
      <c r="AN22" s="313">
        <f>'Demand calc &gt;&gt;&gt;'!M21*'Assumptions data'!$E22*'National data'!$E23*'National data'!$F23*D22</f>
        <v>34926792.09912283</v>
      </c>
      <c r="AO22" s="313">
        <f>'Demand calc &gt;&gt;&gt;'!M21*'Assumptions data'!$G22*'National data'!$H23*'National data'!$I23*$F22</f>
        <v>47434177.424136661</v>
      </c>
      <c r="AP22" s="313">
        <f>'Demand calc &gt;&gt;&gt;'!M21*'Assumptions data'!$I22*'National data'!$K23*'National data'!$L23*$H22</f>
        <v>29217091.398588471</v>
      </c>
      <c r="AQ22" s="197">
        <f>'Demand calc &gt;&gt;&gt;'!M21*'Assumptions data'!$J22*'National data'!$N23*'National data'!$O23*$J22</f>
        <v>35363532.9792476</v>
      </c>
      <c r="AR22" s="313">
        <f>'Demand calc &gt;&gt;&gt;'!N21*'Assumptions data'!$E22*'National data'!$E23*'National data'!$F23*D22</f>
        <v>2200508.6258203248</v>
      </c>
      <c r="AS22" s="313">
        <f>'Demand calc &gt;&gt;&gt;'!N21*'Assumptions data'!$G22*'National data'!$H23*'National data'!$I23*$F22</f>
        <v>2988517.1327579739</v>
      </c>
      <c r="AT22" s="313">
        <f>'Demand calc &gt;&gt;&gt;'!N21*'Assumptions data'!$I22*'National data'!$K23*'National data'!$L23*$H22</f>
        <v>1840777.7462502606</v>
      </c>
      <c r="AU22" s="197">
        <f>'Demand calc &gt;&gt;&gt;'!N21*'Assumptions data'!$J22*'National data'!$N23*'National data'!$O23*$J22</f>
        <v>2228024.8108520168</v>
      </c>
      <c r="AV22" s="313">
        <f>'Demand calc &gt;&gt;&gt;'!O21*'Assumptions data'!$E22*'National data'!$E23*'National data'!$F23*D22</f>
        <v>182319828.91200009</v>
      </c>
      <c r="AW22" s="313">
        <f>'Demand calc &gt;&gt;&gt;'!O21*'Assumptions data'!$G22*'National data'!$H23*'National data'!$I23*$F22</f>
        <v>247609087.25904</v>
      </c>
      <c r="AX22" s="313">
        <f>'Demand calc &gt;&gt;&gt;'!O21*'Assumptions data'!$I22*'National data'!$K23*'National data'!$L23*$H22</f>
        <v>152514868.52784002</v>
      </c>
      <c r="AY22" s="197">
        <f>'Demand calc &gt;&gt;&gt;'!O21*'Assumptions data'!$J22*'National data'!$N23*'National data'!$O23*$J22</f>
        <v>184599640.99199998</v>
      </c>
    </row>
    <row r="23" spans="1:51">
      <c r="A23" s="9">
        <v>21</v>
      </c>
      <c r="B23" s="1" t="s">
        <v>413</v>
      </c>
      <c r="C23" s="1" t="s">
        <v>414</v>
      </c>
      <c r="D23" s="301">
        <f t="shared" si="0"/>
        <v>8.7468750000000046</v>
      </c>
      <c r="E23" s="313">
        <f>'Demand calc &gt;&gt;&gt;'!$E22*'Assumptions data'!$E23*'National data'!$E24*'National data'!$F24*D23</f>
        <v>876262503.4802438</v>
      </c>
      <c r="F23" s="301">
        <f t="shared" si="1"/>
        <v>97.47</v>
      </c>
      <c r="G23" s="313">
        <f>'Demand calc &gt;&gt;&gt;'!E22*'Assumptions data'!$G23*'National data'!$H24*'National data'!$I24*$F23</f>
        <v>1190054641.7844064</v>
      </c>
      <c r="H23" s="301">
        <f t="shared" si="3"/>
        <v>45.027500000000003</v>
      </c>
      <c r="I23" s="313">
        <f>'Demand calc &gt;&gt;&gt;'!E22*'Assumptions data'!$I23*'National data'!$K24*'National data'!$L24*$H23</f>
        <v>733014402.83092046</v>
      </c>
      <c r="J23" s="323">
        <f t="shared" si="2"/>
        <v>31.142857142857142</v>
      </c>
      <c r="K23" s="197">
        <f>'Demand calc &gt;&gt;&gt;'!E22*'Assumptions data'!$J23*'National data'!$N24*'National data'!$O24*J23</f>
        <v>887219698.05752385</v>
      </c>
      <c r="L23" s="313">
        <f>'Demand calc &gt;&gt;&gt;'!$F22*'Assumptions data'!$E23*'National data'!$E24*'National data'!$F24*$D23</f>
        <v>339745481.15030748</v>
      </c>
      <c r="M23" s="313">
        <f>'Demand calc &gt;&gt;&gt;'!$F22*'Assumptions data'!$G23*'National data'!$H24*'National data'!$I24*$F23</f>
        <v>461409321.13651228</v>
      </c>
      <c r="N23" s="313">
        <f>'Demand calc &gt;&gt;&gt;'!$F22*'Assumptions data'!$I23*'National data'!$K24*'National data'!$L24*$H23</f>
        <v>284205166.82020867</v>
      </c>
      <c r="O23" s="197">
        <f>'Demand calc &gt;&gt;&gt;'!$F22*'Assumptions data'!$J23*'National data'!$N24*'National data'!$O24*$J23</f>
        <v>343993816.92746371</v>
      </c>
      <c r="P23" s="313">
        <f>'Demand calc &gt;&gt;&gt;'!$G22*'Assumptions data'!$E23*'National data'!$E24*'National data'!$F24*$D23</f>
        <v>200981144.41152251</v>
      </c>
      <c r="Q23" s="313">
        <f>'Demand calc &gt;&gt;&gt;'!$G22*'Assumptions data'!$G23*'National data'!$H24*'National data'!$I24*$F23</f>
        <v>272953073.84274822</v>
      </c>
      <c r="R23" s="313">
        <f>'Demand calc &gt;&gt;&gt;'!$G22*'Assumptions data'!$I23*'National data'!$K24*'National data'!$L24*$H23</f>
        <v>168125502.30777812</v>
      </c>
      <c r="S23" s="197">
        <f>'Demand calc &gt;&gt;&gt;'!$G22*'Assumptions data'!$J23*'National data'!$N24*'National data'!$O24*$J23</f>
        <v>203494306.27447462</v>
      </c>
      <c r="T23" s="313">
        <f>'Demand calc &gt;&gt;&gt;'!$H22*'Assumptions data'!$E23*'National data'!$E24*'National data'!$F24*$D23</f>
        <v>640324666.48326778</v>
      </c>
      <c r="U23" s="313">
        <f>'Demand calc &gt;&gt;&gt;'!$H22*'Assumptions data'!$G23*'National data'!$H24*'National data'!$I24*$F23</f>
        <v>869626782.58050704</v>
      </c>
      <c r="V23" s="313">
        <f>'Demand calc &gt;&gt;&gt;'!$H22*'Assumptions data'!$I23*'National data'!$K24*'National data'!$L24*$H23</f>
        <v>535646796.65734798</v>
      </c>
      <c r="W23" s="197">
        <f>'Demand calc &gt;&gt;&gt;'!$H22*'Assumptions data'!$J23*'National data'!$N24*'National data'!$O24*$J23</f>
        <v>648331584.4278599</v>
      </c>
      <c r="X23" s="313">
        <f>'Demand calc &gt;&gt;&gt;'!$I22*'Assumptions data'!$E23*'National data'!$E24*'National data'!$F24*$D23</f>
        <v>4354722.9875837872</v>
      </c>
      <c r="Y23" s="313">
        <f>'Demand calc &gt;&gt;&gt;'!$I22*'Assumptions data'!$G23*'National data'!$H24*'National data'!$I24*$F23</f>
        <v>5914161.8915297845</v>
      </c>
      <c r="Z23" s="313">
        <f>'Demand calc &gt;&gt;&gt;'!$I22*'Assumptions data'!$I23*'National data'!$K24*'National data'!$L24*$H23</f>
        <v>3642829.2407353707</v>
      </c>
      <c r="AA23" s="197">
        <f>'Demand calc &gt;&gt;&gt;'!$I22*'Assumptions data'!$J23*'National data'!$N24*'National data'!$O24*$J23</f>
        <v>4409176.472601803</v>
      </c>
      <c r="AB23" s="313">
        <f>'Demand calc &gt;&gt;&gt;'!$J22*'Assumptions data'!$E23*'National data'!$E24*'National data'!$F24*D23</f>
        <v>166057334.38080019</v>
      </c>
      <c r="AC23" s="313">
        <f>'Demand calc &gt;&gt;&gt;'!J22*'Assumptions data'!$G23*'National data'!$H24*'National data'!$I24*$F23</f>
        <v>225522946.37433612</v>
      </c>
      <c r="AD23" s="313">
        <f>'Demand calc &gt;&gt;&gt;'!J22*'Assumptions data'!$I23*'National data'!$K24*'National data'!$L24*$H23</f>
        <v>138910905.48025611</v>
      </c>
      <c r="AE23" s="197">
        <f>'Demand calc &gt;&gt;&gt;'!J22*'Assumptions data'!$J23*'National data'!$N24*'National data'!$O24*$J23</f>
        <v>168133792.65280008</v>
      </c>
      <c r="AF23" s="313">
        <f>'Demand calc &gt;&gt;&gt;'!$K22*'Assumptions data'!$E23*'National data'!$E24*'National data'!$F24*D23</f>
        <v>161680509.5167889</v>
      </c>
      <c r="AG23" s="313">
        <f>'Demand calc &gt;&gt;&gt;'!$K22*'Assumptions data'!$G23*'National data'!$H24*'National data'!$I24*$F23</f>
        <v>219578767.86046976</v>
      </c>
      <c r="AH23" s="313">
        <f>'Demand calc &gt;&gt;&gt;'!K22*'Assumptions data'!$I23*'National data'!$K24*'National data'!$L24*$H23</f>
        <v>135249587.49478203</v>
      </c>
      <c r="AI23" s="197">
        <f>'Demand calc &gt;&gt;&gt;'!K22*'Assumptions data'!$J23*'National data'!$N24*'National data'!$O24*$J23</f>
        <v>163702237.93161109</v>
      </c>
      <c r="AJ23" s="313">
        <f>'Demand calc &gt;&gt;&gt;'!L22*'Assumptions data'!$E23*'National data'!$E24*'National data'!$F24*D23</f>
        <v>32011312.048538689</v>
      </c>
      <c r="AK23" s="313">
        <f>'Demand calc &gt;&gt;&gt;'!L22*'Assumptions data'!$G23*'National data'!$H24*'National data'!$I24*$F23</f>
        <v>43474655.530357808</v>
      </c>
      <c r="AL23" s="313">
        <f>'Demand calc &gt;&gt;&gt;'!L22*'Assumptions data'!$I23*'National data'!$K24*'National data'!$L24*$H23</f>
        <v>26778223.068885285</v>
      </c>
      <c r="AM23" s="197">
        <f>'Demand calc &gt;&gt;&gt;'!L22*'Assumptions data'!$J23*'National data'!$N24*'National data'!$O24*$J23</f>
        <v>32411596.407845151</v>
      </c>
      <c r="AN23" s="313">
        <f>'Demand calc &gt;&gt;&gt;'!M22*'Assumptions data'!$E23*'National data'!$E24*'National data'!$F24*D23</f>
        <v>46560442.902300581</v>
      </c>
      <c r="AO23" s="313">
        <f>'Demand calc &gt;&gt;&gt;'!M22*'Assumptions data'!$G23*'National data'!$H24*'National data'!$I24*$F23</f>
        <v>63233872.246445924</v>
      </c>
      <c r="AP23" s="313">
        <f>'Demand calc &gt;&gt;&gt;'!M22*'Assumptions data'!$I23*'National data'!$K24*'National data'!$L24*$H23</f>
        <v>38948916.693366773</v>
      </c>
      <c r="AQ23" s="197">
        <f>'Demand calc &gt;&gt;&gt;'!M22*'Assumptions data'!$J23*'National data'!$N24*'National data'!$O24*$J23</f>
        <v>47142656.371961333</v>
      </c>
      <c r="AR23" s="313">
        <f>'Demand calc &gt;&gt;&gt;'!N22*'Assumptions data'!$E23*'National data'!$E24*'National data'!$F24*D23</f>
        <v>643849.43654844887</v>
      </c>
      <c r="AS23" s="313">
        <f>'Demand calc &gt;&gt;&gt;'!N22*'Assumptions data'!$G23*'National data'!$H24*'National data'!$I24*$F23</f>
        <v>874413.78300632874</v>
      </c>
      <c r="AT23" s="313">
        <f>'Demand calc &gt;&gt;&gt;'!N22*'Assumptions data'!$I23*'National data'!$K24*'National data'!$L24*$H23</f>
        <v>538595.35056006932</v>
      </c>
      <c r="AU23" s="197">
        <f>'Demand calc &gt;&gt;&gt;'!N22*'Assumptions data'!$J23*'National data'!$N24*'National data'!$O24*$J23</f>
        <v>651900.42986005836</v>
      </c>
      <c r="AV23" s="313">
        <f>'Demand calc &gt;&gt;&gt;'!O22*'Assumptions data'!$E23*'National data'!$E24*'National data'!$F24*D23</f>
        <v>185759526.44970015</v>
      </c>
      <c r="AW23" s="313">
        <f>'Demand calc &gt;&gt;&gt;'!O22*'Assumptions data'!$G23*'National data'!$H24*'National data'!$I24*$F23</f>
        <v>252280550.43909901</v>
      </c>
      <c r="AX23" s="313">
        <f>'Demand calc &gt;&gt;&gt;'!O22*'Assumptions data'!$I23*'National data'!$K24*'National data'!$L24*$H23</f>
        <v>155392257.24012905</v>
      </c>
      <c r="AY23" s="197">
        <f>'Demand calc &gt;&gt;&gt;'!O22*'Assumptions data'!$J23*'National data'!$N24*'National data'!$O24*$J23</f>
        <v>188082350.11020002</v>
      </c>
    </row>
    <row r="24" spans="1:51">
      <c r="A24" s="9">
        <v>22</v>
      </c>
      <c r="B24" s="1" t="s">
        <v>418</v>
      </c>
      <c r="C24" s="1" t="s">
        <v>419</v>
      </c>
      <c r="D24" s="301">
        <f t="shared" si="0"/>
        <v>8.7468750000000046</v>
      </c>
      <c r="E24" s="313">
        <f>'Demand calc &gt;&gt;&gt;'!$E23*'Assumptions data'!$E24*'National data'!$E25*'National data'!$F25*D24</f>
        <v>1564881667.4588704</v>
      </c>
      <c r="F24" s="301">
        <f t="shared" si="1"/>
        <v>97.47</v>
      </c>
      <c r="G24" s="313">
        <f>'Demand calc &gt;&gt;&gt;'!E23*'Assumptions data'!$G24*'National data'!$H25*'National data'!$I25*$F24</f>
        <v>2125270321.1723561</v>
      </c>
      <c r="H24" s="301">
        <f t="shared" si="3"/>
        <v>45.027500000000003</v>
      </c>
      <c r="I24" s="313">
        <f>'Demand calc &gt;&gt;&gt;'!E23*'Assumptions data'!$I24*'National data'!$K25*'National data'!$L25*$H24</f>
        <v>1309060694.0472388</v>
      </c>
      <c r="J24" s="323">
        <f t="shared" si="2"/>
        <v>31.142857142857142</v>
      </c>
      <c r="K24" s="197">
        <f>'Demand calc &gt;&gt;&gt;'!E23*'Assumptions data'!$J24*'National data'!$N25*'National data'!$O25*J24</f>
        <v>1584449676.8768976</v>
      </c>
      <c r="L24" s="313">
        <f>'Demand calc &gt;&gt;&gt;'!$F23*'Assumptions data'!$E24*'National data'!$E25*'National data'!$F25*$D24</f>
        <v>446030989.17516702</v>
      </c>
      <c r="M24" s="313">
        <f>'Demand calc &gt;&gt;&gt;'!$F23*'Assumptions data'!$G24*'National data'!$H25*'National data'!$I25*$F24</f>
        <v>605755977.16371441</v>
      </c>
      <c r="N24" s="313">
        <f>'Demand calc &gt;&gt;&gt;'!$F23*'Assumptions data'!$I24*'National data'!$K25*'National data'!$L25*$H24</f>
        <v>373115519.46567023</v>
      </c>
      <c r="O24" s="197">
        <f>'Demand calc &gt;&gt;&gt;'!$F23*'Assumptions data'!$J24*'National data'!$N25*'National data'!$O25*$J24</f>
        <v>451608368.46102989</v>
      </c>
      <c r="P24" s="313">
        <f>'Demand calc &gt;&gt;&gt;'!$G23*'Assumptions data'!$E24*'National data'!$E25*'National data'!$F25*$D24</f>
        <v>349672155.76352203</v>
      </c>
      <c r="Q24" s="313">
        <f>'Demand calc &gt;&gt;&gt;'!$G23*'Assumptions data'!$G24*'National data'!$H25*'National data'!$I25*$F24</f>
        <v>474890766.65542996</v>
      </c>
      <c r="R24" s="313">
        <f>'Demand calc &gt;&gt;&gt;'!$G23*'Assumptions data'!$I24*'National data'!$K25*'National data'!$L25*$H24</f>
        <v>292509065.97691423</v>
      </c>
      <c r="S24" s="197">
        <f>'Demand calc &gt;&gt;&gt;'!$G23*'Assumptions data'!$J24*'National data'!$N25*'National data'!$O25*$J24</f>
        <v>354044619.30468768</v>
      </c>
      <c r="T24" s="313">
        <f>'Demand calc &gt;&gt;&gt;'!$H23*'Assumptions data'!$E24*'National data'!$E25*'National data'!$F25*$D24</f>
        <v>898440164.6392473</v>
      </c>
      <c r="U24" s="313">
        <f>'Demand calc &gt;&gt;&gt;'!$H23*'Assumptions data'!$G24*'National data'!$H25*'National data'!$I25*$F24</f>
        <v>1220174187.5841756</v>
      </c>
      <c r="V24" s="313">
        <f>'Demand calc &gt;&gt;&gt;'!$H23*'Assumptions data'!$I24*'National data'!$K25*'National data'!$L25*$H24</f>
        <v>751566543.29806077</v>
      </c>
      <c r="W24" s="197">
        <f>'Demand calc &gt;&gt;&gt;'!$H23*'Assumptions data'!$J24*'National data'!$N25*'National data'!$O25*$J24</f>
        <v>909674679.02380311</v>
      </c>
      <c r="X24" s="313">
        <f>'Demand calc &gt;&gt;&gt;'!$I23*'Assumptions data'!$E24*'National data'!$E25*'National data'!$F25*$D24</f>
        <v>7095786.1852500048</v>
      </c>
      <c r="Y24" s="313">
        <f>'Demand calc &gt;&gt;&gt;'!$I23*'Assumptions data'!$G24*'National data'!$H25*'National data'!$I25*$F24</f>
        <v>9636807.7526174989</v>
      </c>
      <c r="Z24" s="313">
        <f>'Demand calc &gt;&gt;&gt;'!$I23*'Assumptions data'!$I24*'National data'!$K25*'National data'!$L25*$H24</f>
        <v>5935793.7290925011</v>
      </c>
      <c r="AA24" s="197">
        <f>'Demand calc &gt;&gt;&gt;'!$I23*'Assumptions data'!$J24*'National data'!$N25*'National data'!$O25*$J24</f>
        <v>7184515.2014999986</v>
      </c>
      <c r="AB24" s="313">
        <f>'Demand calc &gt;&gt;&gt;'!$J23*'Assumptions data'!$E24*'National data'!$E25*'National data'!$F25*D24</f>
        <v>468788420.04294544</v>
      </c>
      <c r="AC24" s="313">
        <f>'Demand calc &gt;&gt;&gt;'!J23*'Assumptions data'!$G24*'National data'!$H25*'National data'!$I25*$F24</f>
        <v>636662909.88276112</v>
      </c>
      <c r="AD24" s="313">
        <f>'Demand calc &gt;&gt;&gt;'!J23*'Assumptions data'!$I24*'National data'!$K25*'National data'!$L25*$H24</f>
        <v>392152651.0686506</v>
      </c>
      <c r="AE24" s="197">
        <f>'Demand calc &gt;&gt;&gt;'!J23*'Assumptions data'!$J24*'National data'!$N25*'National data'!$O25*$J24</f>
        <v>474650368.8466261</v>
      </c>
      <c r="AF24" s="313">
        <f>'Demand calc &gt;&gt;&gt;'!$K23*'Assumptions data'!$E24*'National data'!$E25*'National data'!$F25*D24</f>
        <v>350104967.55723155</v>
      </c>
      <c r="AG24" s="313">
        <f>'Demand calc &gt;&gt;&gt;'!$K23*'Assumptions data'!$G24*'National data'!$H25*'National data'!$I25*$F24</f>
        <v>475478569.60497683</v>
      </c>
      <c r="AH24" s="313">
        <f>'Demand calc &gt;&gt;&gt;'!K23*'Assumptions data'!$I24*'National data'!$K25*'National data'!$L25*$H24</f>
        <v>292871123.32530487</v>
      </c>
      <c r="AI24" s="197">
        <f>'Demand calc &gt;&gt;&gt;'!K23*'Assumptions data'!$J24*'National data'!$N25*'National data'!$O25*$J24</f>
        <v>354482843.17870438</v>
      </c>
      <c r="AJ24" s="313">
        <f>'Demand calc &gt;&gt;&gt;'!L23*'Assumptions data'!$E24*'National data'!$E25*'National data'!$F25*D24</f>
        <v>111788627.61118142</v>
      </c>
      <c r="AK24" s="313">
        <f>'Demand calc &gt;&gt;&gt;'!L23*'Assumptions data'!$G24*'National data'!$H25*'National data'!$I25*$F24</f>
        <v>151820458.66281241</v>
      </c>
      <c r="AL24" s="313">
        <f>'Demand calc &gt;&gt;&gt;'!L23*'Assumptions data'!$I24*'National data'!$K25*'National data'!$L25*$H24</f>
        <v>93513842.925204858</v>
      </c>
      <c r="AM24" s="197">
        <f>'Demand calc &gt;&gt;&gt;'!L23*'Assumptions data'!$J24*'National data'!$N25*'National data'!$O25*$J24</f>
        <v>113186484.69099247</v>
      </c>
      <c r="AN24" s="313">
        <f>'Demand calc &gt;&gt;&gt;'!M23*'Assumptions data'!$E24*'National data'!$E25*'National data'!$F25*D24</f>
        <v>114491436.87410079</v>
      </c>
      <c r="AO24" s="313">
        <f>'Demand calc &gt;&gt;&gt;'!M23*'Assumptions data'!$G24*'National data'!$H25*'National data'!$I25*$F24</f>
        <v>155491151.74441776</v>
      </c>
      <c r="AP24" s="313">
        <f>'Demand calc &gt;&gt;&gt;'!M23*'Assumptions data'!$I24*'National data'!$K25*'National data'!$L25*$H24</f>
        <v>95774807.088290721</v>
      </c>
      <c r="AQ24" s="197">
        <f>'Demand calc &gt;&gt;&gt;'!M23*'Assumptions data'!$J24*'National data'!$N25*'National data'!$O25*$J24</f>
        <v>115923091.14012198</v>
      </c>
      <c r="AR24" s="313">
        <f>'Demand calc &gt;&gt;&gt;'!N23*'Assumptions data'!$E24*'National data'!$E25*'National data'!$F25*D24</f>
        <v>2195367.5519574704</v>
      </c>
      <c r="AS24" s="313">
        <f>'Demand calc &gt;&gt;&gt;'!N23*'Assumptions data'!$G24*'National data'!$H25*'National data'!$I25*$F24</f>
        <v>2981535.0254671257</v>
      </c>
      <c r="AT24" s="313">
        <f>'Demand calc &gt;&gt;&gt;'!N23*'Assumptions data'!$I24*'National data'!$K25*'National data'!$L25*$H24</f>
        <v>1836477.1158198561</v>
      </c>
      <c r="AU24" s="197">
        <f>'Demand calc &gt;&gt;&gt;'!N23*'Assumptions data'!$J24*'National data'!$N25*'National data'!$O25*$J24</f>
        <v>2222819.4506064546</v>
      </c>
      <c r="AV24" s="313">
        <f>'Demand calc &gt;&gt;&gt;'!O23*'Assumptions data'!$E24*'National data'!$E25*'National data'!$F25*D24</f>
        <v>368980881.63300031</v>
      </c>
      <c r="AW24" s="313">
        <f>'Demand calc &gt;&gt;&gt;'!O23*'Assumptions data'!$G24*'National data'!$H25*'National data'!$I25*$F24</f>
        <v>501114003.13611007</v>
      </c>
      <c r="AX24" s="313">
        <f>'Demand calc &gt;&gt;&gt;'!O23*'Assumptions data'!$I24*'National data'!$K25*'National data'!$L25*$H24</f>
        <v>308661273.91281009</v>
      </c>
      <c r="AY24" s="197">
        <f>'Demand calc &gt;&gt;&gt;'!O23*'Assumptions data'!$J24*'National data'!$N25*'National data'!$O25*$J24</f>
        <v>373594790.47800004</v>
      </c>
    </row>
    <row r="25" spans="1:51">
      <c r="A25" s="9">
        <v>23</v>
      </c>
      <c r="B25" s="1" t="s">
        <v>424</v>
      </c>
      <c r="C25" s="1" t="s">
        <v>425</v>
      </c>
      <c r="D25" s="301">
        <f t="shared" si="0"/>
        <v>8.7468750000000046</v>
      </c>
      <c r="E25" s="313">
        <f>'Demand calc &gt;&gt;&gt;'!$E24*'Assumptions data'!$E25*'National data'!$E26*'National data'!$F26*D25</f>
        <v>807279989.1425072</v>
      </c>
      <c r="F25" s="301">
        <f t="shared" si="1"/>
        <v>97.47</v>
      </c>
      <c r="G25" s="313">
        <f>'Demand calc &gt;&gt;&gt;'!E24*'Assumptions data'!$G25*'National data'!$H26*'National data'!$I26*$F25</f>
        <v>1096369289.4344709</v>
      </c>
      <c r="H25" s="301">
        <f t="shared" si="3"/>
        <v>45.027500000000003</v>
      </c>
      <c r="I25" s="313">
        <f>'Demand calc &gt;&gt;&gt;'!E24*'Assumptions data'!$I25*'National data'!$K26*'National data'!$L26*$H25</f>
        <v>675308890.66735971</v>
      </c>
      <c r="J25" s="323">
        <f t="shared" si="2"/>
        <v>31.142857142857142</v>
      </c>
      <c r="K25" s="197">
        <f>'Demand calc &gt;&gt;&gt;'!E24*'Assumptions data'!$J25*'National data'!$N26*'National data'!$O26*J25</f>
        <v>817374594.22288799</v>
      </c>
      <c r="L25" s="313">
        <f>'Demand calc &gt;&gt;&gt;'!$F24*'Assumptions data'!$E25*'National data'!$E26*'National data'!$F26*$D25</f>
        <v>200825985.68728614</v>
      </c>
      <c r="M25" s="313">
        <f>'Demand calc &gt;&gt;&gt;'!$F24*'Assumptions data'!$G25*'National data'!$H26*'National data'!$I26*$F25</f>
        <v>272742352.33035052</v>
      </c>
      <c r="N25" s="313">
        <f>'Demand calc &gt;&gt;&gt;'!$F24*'Assumptions data'!$I25*'National data'!$K26*'National data'!$L26*$H25</f>
        <v>167995708.34861812</v>
      </c>
      <c r="O25" s="197">
        <f>'Demand calc &gt;&gt;&gt;'!$F24*'Assumptions data'!$J25*'National data'!$N26*'National data'!$O26*$J25</f>
        <v>203337207.37326491</v>
      </c>
      <c r="P25" s="313">
        <f>'Demand calc &gt;&gt;&gt;'!$G24*'Assumptions data'!$E25*'National data'!$E26*'National data'!$F26*$D25</f>
        <v>149052661.92165312</v>
      </c>
      <c r="Q25" s="313">
        <f>'Demand calc &gt;&gt;&gt;'!$G24*'Assumptions data'!$G25*'National data'!$H26*'National data'!$I26*$F25</f>
        <v>202428851.49790546</v>
      </c>
      <c r="R25" s="313">
        <f>'Demand calc &gt;&gt;&gt;'!$G24*'Assumptions data'!$I25*'National data'!$K26*'National data'!$L26*$H25</f>
        <v>124686092.96292111</v>
      </c>
      <c r="S25" s="197">
        <f>'Demand calc &gt;&gt;&gt;'!$G24*'Assumptions data'!$J25*'National data'!$N26*'National data'!$O26*$J25</f>
        <v>150916485.84707564</v>
      </c>
      <c r="T25" s="313">
        <f>'Demand calc &gt;&gt;&gt;'!$H24*'Assumptions data'!$E25*'National data'!$E26*'National data'!$F26*$D25</f>
        <v>549531208.61947751</v>
      </c>
      <c r="U25" s="313">
        <f>'Demand calc &gt;&gt;&gt;'!$H24*'Assumptions data'!$G25*'National data'!$H26*'National data'!$I26*$F25</f>
        <v>746319924.70935225</v>
      </c>
      <c r="V25" s="313">
        <f>'Demand calc &gt;&gt;&gt;'!$H24*'Assumptions data'!$I25*'National data'!$K26*'National data'!$L26*$H25</f>
        <v>459695912.03926498</v>
      </c>
      <c r="W25" s="197">
        <f>'Demand calc &gt;&gt;&gt;'!$H24*'Assumptions data'!$J25*'National data'!$N26*'National data'!$O26*$J25</f>
        <v>556402802.86802363</v>
      </c>
      <c r="X25" s="313">
        <f>'Demand calc &gt;&gt;&gt;'!$I24*'Assumptions data'!$E25*'National data'!$E26*'National data'!$F26*$D25</f>
        <v>5922010.8283304423</v>
      </c>
      <c r="Y25" s="313">
        <f>'Demand calc &gt;&gt;&gt;'!$I24*'Assumptions data'!$G25*'National data'!$H26*'National data'!$I26*$F25</f>
        <v>8042700.0436074845</v>
      </c>
      <c r="Z25" s="313">
        <f>'Demand calc &gt;&gt;&gt;'!$I24*'Assumptions data'!$I25*'National data'!$K26*'National data'!$L26*$H25</f>
        <v>4953902.7559048748</v>
      </c>
      <c r="AA25" s="197">
        <f>'Demand calc &gt;&gt;&gt;'!$I24*'Assumptions data'!$J25*'National data'!$N26*'National data'!$O26*$J25</f>
        <v>5996062.4106782656</v>
      </c>
      <c r="AB25" s="313">
        <f>'Demand calc &gt;&gt;&gt;'!$J24*'Assumptions data'!$E25*'National data'!$E26*'National data'!$F26*D25</f>
        <v>160725586.94600356</v>
      </c>
      <c r="AC25" s="313">
        <f>'Demand calc &gt;&gt;&gt;'!J24*'Assumptions data'!$G25*'National data'!$H26*'National data'!$I26*$F25</f>
        <v>218281884.75364456</v>
      </c>
      <c r="AD25" s="313">
        <f>'Demand calc &gt;&gt;&gt;'!J24*'Assumptions data'!$I25*'National data'!$K26*'National data'!$L26*$H25</f>
        <v>134450772.07680634</v>
      </c>
      <c r="AE25" s="197">
        <f>'Demand calc &gt;&gt;&gt;'!J24*'Assumptions data'!$J25*'National data'!$N26*'National data'!$O26*$J25</f>
        <v>162735374.56412065</v>
      </c>
      <c r="AF25" s="313">
        <f>'Demand calc &gt;&gt;&gt;'!$K24*'Assumptions data'!$E25*'National data'!$E26*'National data'!$F26*D25</f>
        <v>144821973.90462109</v>
      </c>
      <c r="AG25" s="313">
        <f>'Demand calc &gt;&gt;&gt;'!$K24*'Assumptions data'!$G25*'National data'!$H26*'National data'!$I26*$F25</f>
        <v>196683141.85882562</v>
      </c>
      <c r="AH25" s="313">
        <f>'Demand calc &gt;&gt;&gt;'!K24*'Assumptions data'!$I25*'National data'!$K26*'National data'!$L26*$H25</f>
        <v>121147021.92193526</v>
      </c>
      <c r="AI25" s="197">
        <f>'Demand calc &gt;&gt;&gt;'!K24*'Assumptions data'!$J25*'National data'!$N26*'National data'!$O26*$J25</f>
        <v>146632895.33608285</v>
      </c>
      <c r="AJ25" s="313">
        <f>'Demand calc &gt;&gt;&gt;'!L24*'Assumptions data'!$E25*'National data'!$E26*'National data'!$F26*D25</f>
        <v>32050626.689918015</v>
      </c>
      <c r="AK25" s="313">
        <f>'Demand calc &gt;&gt;&gt;'!L24*'Assumptions data'!$G25*'National data'!$H26*'National data'!$I26*$F25</f>
        <v>43528048.858587347</v>
      </c>
      <c r="AL25" s="313">
        <f>'Demand calc &gt;&gt;&gt;'!L24*'Assumptions data'!$I25*'National data'!$K26*'National data'!$L26*$H25</f>
        <v>26811110.700455416</v>
      </c>
      <c r="AM25" s="197">
        <f>'Demand calc &gt;&gt;&gt;'!L24*'Assumptions data'!$J25*'National data'!$N26*'National data'!$O26*$J25</f>
        <v>32451402.657816224</v>
      </c>
      <c r="AN25" s="313">
        <f>'Demand calc &gt;&gt;&gt;'!M24*'Assumptions data'!$E25*'National data'!$E26*'National data'!$F26*D25</f>
        <v>39114321.426818237</v>
      </c>
      <c r="AO25" s="313">
        <f>'Demand calc &gt;&gt;&gt;'!M24*'Assumptions data'!$G25*'National data'!$H26*'National data'!$I26*$F25</f>
        <v>53121273.122331865</v>
      </c>
      <c r="AP25" s="313">
        <f>'Demand calc &gt;&gt;&gt;'!M24*'Assumptions data'!$I25*'National data'!$K26*'National data'!$L26*$H25</f>
        <v>32720059.170559123</v>
      </c>
      <c r="AQ25" s="197">
        <f>'Demand calc &gt;&gt;&gt;'!M24*'Assumptions data'!$J25*'National data'!$N26*'National data'!$O26*$J25</f>
        <v>39603425.124545485</v>
      </c>
      <c r="AR25" s="313">
        <f>'Demand calc &gt;&gt;&gt;'!N24*'Assumptions data'!$E25*'National data'!$E26*'National data'!$F26*D25</f>
        <v>829658.62440392899</v>
      </c>
      <c r="AS25" s="313">
        <f>'Demand calc &gt;&gt;&gt;'!N24*'Assumptions data'!$G25*'National data'!$H26*'National data'!$I26*$F25</f>
        <v>1126761.7787443318</v>
      </c>
      <c r="AT25" s="313">
        <f>'Demand calc &gt;&gt;&gt;'!N24*'Assumptions data'!$I25*'National data'!$K26*'National data'!$L26*$H25</f>
        <v>694029.15074601304</v>
      </c>
      <c r="AU25" s="197">
        <f>'Demand calc &gt;&gt;&gt;'!N24*'Assumptions data'!$J25*'National data'!$N26*'National data'!$O26*$J25</f>
        <v>840033.06236539234</v>
      </c>
      <c r="AV25" s="313">
        <f>'Demand calc &gt;&gt;&gt;'!O24*'Assumptions data'!$E25*'National data'!$E26*'National data'!$F26*D25</f>
        <v>147556769.8059001</v>
      </c>
      <c r="AW25" s="313">
        <f>'Demand calc &gt;&gt;&gt;'!O24*'Assumptions data'!$G25*'National data'!$H26*'National data'!$I26*$F25</f>
        <v>200397276.08655301</v>
      </c>
      <c r="AX25" s="313">
        <f>'Demand calc &gt;&gt;&gt;'!O24*'Assumptions data'!$I25*'National data'!$K26*'National data'!$L26*$H25</f>
        <v>123434743.66796301</v>
      </c>
      <c r="AY25" s="197">
        <f>'Demand calc &gt;&gt;&gt;'!O24*'Assumptions data'!$J25*'National data'!$N26*'National data'!$O26*$J25</f>
        <v>149401888.3994</v>
      </c>
    </row>
    <row r="26" spans="1:51">
      <c r="A26" s="9">
        <v>24</v>
      </c>
      <c r="B26" s="1" t="s">
        <v>429</v>
      </c>
      <c r="C26" s="1" t="s">
        <v>430</v>
      </c>
      <c r="D26" s="301">
        <f t="shared" si="0"/>
        <v>8.7468750000000046</v>
      </c>
      <c r="E26" s="313">
        <f>'Demand calc &gt;&gt;&gt;'!$E25*'Assumptions data'!$E26*'National data'!$E27*'National data'!$F27*D26</f>
        <v>366782890.69708073</v>
      </c>
      <c r="F26" s="301">
        <f t="shared" si="1"/>
        <v>97.47</v>
      </c>
      <c r="G26" s="313">
        <f>'Demand calc &gt;&gt;&gt;'!E25*'Assumptions data'!$G26*'National data'!$H27*'National data'!$I27*$F26</f>
        <v>498128905.28529215</v>
      </c>
      <c r="H26" s="301">
        <f t="shared" si="3"/>
        <v>45.027500000000003</v>
      </c>
      <c r="I26" s="313">
        <f>'Demand calc &gt;&gt;&gt;'!E25*'Assumptions data'!$I26*'National data'!$K27*'National data'!$L27*$H26</f>
        <v>306822602.27397829</v>
      </c>
      <c r="J26" s="323">
        <f t="shared" si="2"/>
        <v>31.142857142857142</v>
      </c>
      <c r="K26" s="197">
        <f>'Demand calc &gt;&gt;&gt;'!E25*'Assumptions data'!$J26*'National data'!$N27*'National data'!$O27*J26</f>
        <v>371369314.83941615</v>
      </c>
      <c r="L26" s="313">
        <f>'Demand calc &gt;&gt;&gt;'!$F25*'Assumptions data'!$E26*'National data'!$E27*'National data'!$F27*$D26</f>
        <v>114820973.21623807</v>
      </c>
      <c r="M26" s="313">
        <f>'Demand calc &gt;&gt;&gt;'!$F25*'Assumptions data'!$G26*'National data'!$H27*'National data'!$I27*$F26</f>
        <v>155938696.00431654</v>
      </c>
      <c r="N26" s="313">
        <f>'Demand calc &gt;&gt;&gt;'!$F25*'Assumptions data'!$I26*'National data'!$K27*'National data'!$L27*$H26</f>
        <v>96050472.06777285</v>
      </c>
      <c r="O26" s="197">
        <f>'Demand calc &gt;&gt;&gt;'!$F25*'Assumptions data'!$J26*'National data'!$N27*'National data'!$O27*$J26</f>
        <v>116256748.15820597</v>
      </c>
      <c r="P26" s="313">
        <f>'Demand calc &gt;&gt;&gt;'!$G25*'Assumptions data'!$E26*'National data'!$E27*'National data'!$F27*$D26</f>
        <v>72673650.075618893</v>
      </c>
      <c r="Q26" s="313">
        <f>'Demand calc &gt;&gt;&gt;'!$G25*'Assumptions data'!$G26*'National data'!$H27*'National data'!$I27*$F26</f>
        <v>98698294.477296248</v>
      </c>
      <c r="R26" s="313">
        <f>'Demand calc &gt;&gt;&gt;'!$G25*'Assumptions data'!$I26*'National data'!$K27*'National data'!$L27*$H26</f>
        <v>60793234.90409299</v>
      </c>
      <c r="S26" s="197">
        <f>'Demand calc &gt;&gt;&gt;'!$G25*'Assumptions data'!$J26*'National data'!$N27*'National data'!$O27*$J26</f>
        <v>73582395.25341329</v>
      </c>
      <c r="T26" s="313">
        <f>'Demand calc &gt;&gt;&gt;'!$H25*'Assumptions data'!$E26*'National data'!$E27*'National data'!$F27*$D26</f>
        <v>204214341.15107557</v>
      </c>
      <c r="U26" s="313">
        <f>'Demand calc &gt;&gt;&gt;'!$H25*'Assumptions data'!$G26*'National data'!$H27*'National data'!$I27*$F26</f>
        <v>277344087.69125324</v>
      </c>
      <c r="V26" s="313">
        <f>'Demand calc &gt;&gt;&gt;'!$H25*'Assumptions data'!$I26*'National data'!$K27*'National data'!$L27*$H26</f>
        <v>170830148.19627106</v>
      </c>
      <c r="W26" s="197">
        <f>'Demand calc &gt;&gt;&gt;'!$H25*'Assumptions data'!$J26*'National data'!$N27*'National data'!$O27*$J26</f>
        <v>206767932.41234291</v>
      </c>
      <c r="X26" s="313">
        <f>'Demand calc &gt;&gt;&gt;'!$I25*'Assumptions data'!$E26*'National data'!$E27*'National data'!$F27*$D26</f>
        <v>7202001.097800009</v>
      </c>
      <c r="Y26" s="313">
        <f>'Demand calc &gt;&gt;&gt;'!$I25*'Assumptions data'!$G26*'National data'!$H27*'National data'!$I27*$F26</f>
        <v>9781058.5327260047</v>
      </c>
      <c r="Z26" s="313">
        <f>'Demand calc &gt;&gt;&gt;'!$I25*'Assumptions data'!$I26*'National data'!$K27*'National data'!$L27*$H26</f>
        <v>6024645.0269460035</v>
      </c>
      <c r="AA26" s="197">
        <f>'Demand calc &gt;&gt;&gt;'!$I25*'Assumptions data'!$J26*'National data'!$N27*'National data'!$O27*$J26</f>
        <v>7292058.2748000035</v>
      </c>
      <c r="AB26" s="313">
        <f>'Demand calc &gt;&gt;&gt;'!$J25*'Assumptions data'!$E26*'National data'!$E27*'National data'!$F27*D26</f>
        <v>162475063.10564527</v>
      </c>
      <c r="AC26" s="313">
        <f>'Demand calc &gt;&gt;&gt;'!J25*'Assumptions data'!$G26*'National data'!$H27*'National data'!$I27*$F26</f>
        <v>220657853.38884676</v>
      </c>
      <c r="AD26" s="313">
        <f>'Demand calc &gt;&gt;&gt;'!J25*'Assumptions data'!$I26*'National data'!$K27*'National data'!$L27*$H26</f>
        <v>135914250.44925001</v>
      </c>
      <c r="AE26" s="197">
        <f>'Demand calc &gt;&gt;&gt;'!J25*'Assumptions data'!$J26*'National data'!$N27*'National data'!$O27*$J26</f>
        <v>164506726.98870963</v>
      </c>
      <c r="AF26" s="313">
        <f>'Demand calc &gt;&gt;&gt;'!$K25*'Assumptions data'!$E26*'National data'!$E27*'National data'!$F27*D26</f>
        <v>81248575.137166351</v>
      </c>
      <c r="AG26" s="313">
        <f>'Demand calc &gt;&gt;&gt;'!$K25*'Assumptions data'!$G26*'National data'!$H27*'National data'!$I27*$F26</f>
        <v>110343925.01827954</v>
      </c>
      <c r="AH26" s="313">
        <f>'Demand calc &gt;&gt;&gt;'!K25*'Assumptions data'!$I26*'National data'!$K27*'National data'!$L27*$H26</f>
        <v>67966363.445307374</v>
      </c>
      <c r="AI26" s="197">
        <f>'Demand calc &gt;&gt;&gt;'!K25*'Assumptions data'!$J26*'National data'!$N27*'National data'!$O27*$J26</f>
        <v>82264545.172822207</v>
      </c>
      <c r="AJ26" s="313">
        <f>'Demand calc &gt;&gt;&gt;'!L25*'Assumptions data'!$E26*'National data'!$E27*'National data'!$F27*D26</f>
        <v>31742565.898026358</v>
      </c>
      <c r="AK26" s="313">
        <f>'Demand calc &gt;&gt;&gt;'!L25*'Assumptions data'!$G26*'National data'!$H27*'National data'!$I27*$F26</f>
        <v>43109670.605625026</v>
      </c>
      <c r="AL26" s="313">
        <f>'Demand calc &gt;&gt;&gt;'!L25*'Assumptions data'!$I26*'National data'!$K27*'National data'!$L27*$H26</f>
        <v>26553410.528980285</v>
      </c>
      <c r="AM26" s="197">
        <f>'Demand calc &gt;&gt;&gt;'!L25*'Assumptions data'!$J26*'National data'!$N27*'National data'!$O27*$J26</f>
        <v>32139489.730263177</v>
      </c>
      <c r="AN26" s="313">
        <f>'Demand calc &gt;&gt;&gt;'!M25*'Assumptions data'!$E26*'National data'!$E27*'National data'!$F27*D26</f>
        <v>41613820.766790964</v>
      </c>
      <c r="AO26" s="313">
        <f>'Demand calc &gt;&gt;&gt;'!M25*'Assumptions data'!$G26*'National data'!$H27*'National data'!$I27*$F26</f>
        <v>56515850.409226649</v>
      </c>
      <c r="AP26" s="313">
        <f>'Demand calc &gt;&gt;&gt;'!M25*'Assumptions data'!$I26*'National data'!$K27*'National data'!$L27*$H26</f>
        <v>34810949.752764314</v>
      </c>
      <c r="AQ26" s="197">
        <f>'Demand calc &gt;&gt;&gt;'!M25*'Assumptions data'!$J26*'National data'!$N27*'National data'!$O27*$J26</f>
        <v>42134179.368733659</v>
      </c>
      <c r="AR26" s="313">
        <f>'Demand calc &gt;&gt;&gt;'!N25*'Assumptions data'!$E26*'National data'!$E27*'National data'!$F27*D26</f>
        <v>1149577.6506482745</v>
      </c>
      <c r="AS26" s="313">
        <f>'Demand calc &gt;&gt;&gt;'!N25*'Assumptions data'!$G26*'National data'!$H27*'National data'!$I27*$F26</f>
        <v>1561244.7340974645</v>
      </c>
      <c r="AT26" s="313">
        <f>'Demand calc &gt;&gt;&gt;'!N25*'Assumptions data'!$I26*'National data'!$K27*'National data'!$L27*$H26</f>
        <v>961649.01699084975</v>
      </c>
      <c r="AU26" s="197">
        <f>'Demand calc &gt;&gt;&gt;'!N25*'Assumptions data'!$J26*'National data'!$N27*'National data'!$O27*$J26</f>
        <v>1163952.5051579878</v>
      </c>
      <c r="AV26" s="313">
        <f>'Demand calc &gt;&gt;&gt;'!O25*'Assumptions data'!$E26*'National data'!$E27*'National data'!$F27*D26</f>
        <v>133448843.87100008</v>
      </c>
      <c r="AW26" s="313">
        <f>'Demand calc &gt;&gt;&gt;'!O25*'Assumptions data'!$G26*'National data'!$H27*'National data'!$I27*$F26</f>
        <v>181237261.04756999</v>
      </c>
      <c r="AX26" s="313">
        <f>'Demand calc &gt;&gt;&gt;'!O25*'Assumptions data'!$I26*'National data'!$K27*'National data'!$L27*$H26</f>
        <v>111633128.44047002</v>
      </c>
      <c r="AY26" s="197">
        <f>'Demand calc &gt;&gt;&gt;'!O25*'Assumptions data'!$J26*'National data'!$N27*'National data'!$O27*$J26</f>
        <v>135117550.38600001</v>
      </c>
    </row>
    <row r="27" spans="1:51">
      <c r="A27" s="9">
        <v>25</v>
      </c>
      <c r="B27" s="1" t="s">
        <v>434</v>
      </c>
      <c r="C27" s="1" t="s">
        <v>435</v>
      </c>
      <c r="D27" s="301">
        <f t="shared" si="0"/>
        <v>8.7468750000000046</v>
      </c>
      <c r="E27" s="313">
        <f>'Demand calc &gt;&gt;&gt;'!$E26*'Assumptions data'!$E27*'National data'!$E28*'National data'!$F28*D27</f>
        <v>875833115.30835056</v>
      </c>
      <c r="F27" s="301">
        <f t="shared" si="1"/>
        <v>97.47</v>
      </c>
      <c r="G27" s="313">
        <f>'Demand calc &gt;&gt;&gt;'!E26*'Assumptions data'!$G27*'National data'!$H28*'National data'!$I28*$F27</f>
        <v>1189471488.4655557</v>
      </c>
      <c r="H27" s="301">
        <f t="shared" si="3"/>
        <v>45.027500000000003</v>
      </c>
      <c r="I27" s="313">
        <f>'Demand calc &gt;&gt;&gt;'!E26*'Assumptions data'!$I27*'National data'!$K28*'National data'!$L28*$H27</f>
        <v>732655209.42351925</v>
      </c>
      <c r="J27" s="323">
        <f t="shared" si="2"/>
        <v>31.142857142857142</v>
      </c>
      <c r="K27" s="197">
        <f>'Demand calc &gt;&gt;&gt;'!E26*'Assumptions data'!$J27*'National data'!$N28*'National data'!$O28*J27</f>
        <v>886784940.61588562</v>
      </c>
      <c r="L27" s="313">
        <f>'Demand calc &gt;&gt;&gt;'!$F26*'Assumptions data'!$E27*'National data'!$E28*'National data'!$F28*$D27</f>
        <v>147625102.1775324</v>
      </c>
      <c r="M27" s="313">
        <f>'Demand calc &gt;&gt;&gt;'!$F26*'Assumptions data'!$G27*'National data'!$H28*'National data'!$I28*$F27</f>
        <v>200490078.47821325</v>
      </c>
      <c r="N27" s="313">
        <f>'Demand calc &gt;&gt;&gt;'!$F26*'Assumptions data'!$I27*'National data'!$K28*'National data'!$L28*$H27</f>
        <v>123491905.32030709</v>
      </c>
      <c r="O27" s="197">
        <f>'Demand calc &gt;&gt;&gt;'!$F26*'Assumptions data'!$J27*'National data'!$N28*'National data'!$O28*$J27</f>
        <v>149471075.23084193</v>
      </c>
      <c r="P27" s="313">
        <f>'Demand calc &gt;&gt;&gt;'!$G26*'Assumptions data'!$E27*'National data'!$E28*'National data'!$F28*$D27</f>
        <v>179455354.14651331</v>
      </c>
      <c r="Q27" s="313">
        <f>'Demand calc &gt;&gt;&gt;'!$G26*'Assumptions data'!$G27*'National data'!$H28*'National data'!$I28*$F27</f>
        <v>243718835.7905556</v>
      </c>
      <c r="R27" s="313">
        <f>'Demand calc &gt;&gt;&gt;'!$G26*'Assumptions data'!$I27*'National data'!$K28*'National data'!$L28*$H27</f>
        <v>150118667.33092907</v>
      </c>
      <c r="S27" s="197">
        <f>'Demand calc &gt;&gt;&gt;'!$G26*'Assumptions data'!$J27*'National data'!$N28*'National data'!$O28*$J27</f>
        <v>181699347.49954212</v>
      </c>
      <c r="T27" s="313">
        <f>'Demand calc &gt;&gt;&gt;'!$H26*'Assumptions data'!$E27*'National data'!$E28*'National data'!$F28*$D27</f>
        <v>438280410.81723857</v>
      </c>
      <c r="U27" s="313">
        <f>'Demand calc &gt;&gt;&gt;'!$H26*'Assumptions data'!$G27*'National data'!$H28*'National data'!$I28*$F27</f>
        <v>595229894.26648521</v>
      </c>
      <c r="V27" s="313">
        <f>'Demand calc &gt;&gt;&gt;'!$H26*'Assumptions data'!$I27*'National data'!$K28*'National data'!$L28*$H27</f>
        <v>366631976.52726203</v>
      </c>
      <c r="W27" s="197">
        <f>'Demand calc &gt;&gt;&gt;'!$H26*'Assumptions data'!$J27*'National data'!$N28*'National data'!$O28*$J27</f>
        <v>443760873.2604692</v>
      </c>
      <c r="X27" s="313">
        <f>'Demand calc &gt;&gt;&gt;'!$I26*'Assumptions data'!$E27*'National data'!$E28*'National data'!$F28*$D27</f>
        <v>14236978.130671162</v>
      </c>
      <c r="Y27" s="313">
        <f>'Demand calc &gt;&gt;&gt;'!$I26*'Assumptions data'!$G27*'National data'!$H28*'National data'!$I28*$F27</f>
        <v>19335281.199522749</v>
      </c>
      <c r="Z27" s="313">
        <f>'Demand calc &gt;&gt;&gt;'!$I26*'Assumptions data'!$I27*'National data'!$K28*'National data'!$L28*$H27</f>
        <v>11909570.455340251</v>
      </c>
      <c r="AA27" s="197">
        <f>'Demand calc &gt;&gt;&gt;'!$I26*'Assumptions data'!$J27*'National data'!$N28*'National data'!$O28*$J27</f>
        <v>14415003.937949996</v>
      </c>
      <c r="AB27" s="313">
        <f>'Demand calc &gt;&gt;&gt;'!$J26*'Assumptions data'!$E27*'National data'!$E28*'National data'!$F28*D27</f>
        <v>252511343.36358848</v>
      </c>
      <c r="AC27" s="313">
        <f>'Demand calc &gt;&gt;&gt;'!J26*'Assumptions data'!$G27*'National data'!$H28*'National data'!$I28*$F27</f>
        <v>342936386.1623112</v>
      </c>
      <c r="AD27" s="313">
        <f>'Demand calc &gt;&gt;&gt;'!J26*'Assumptions data'!$I27*'National data'!$K28*'National data'!$L28*$H27</f>
        <v>211231738.01064906</v>
      </c>
      <c r="AE27" s="197">
        <f>'Demand calc &gt;&gt;&gt;'!J26*'Assumptions data'!$J27*'National data'!$N28*'National data'!$O28*$J27</f>
        <v>255668862.84116089</v>
      </c>
      <c r="AF27" s="313">
        <f>'Demand calc &gt;&gt;&gt;'!$K26*'Assumptions data'!$E27*'National data'!$E28*'National data'!$F28*D27</f>
        <v>144655607.35854739</v>
      </c>
      <c r="AG27" s="313">
        <f>'Demand calc &gt;&gt;&gt;'!$K26*'Assumptions data'!$G27*'National data'!$H28*'National data'!$I28*$F27</f>
        <v>196457198.97115636</v>
      </c>
      <c r="AH27" s="313">
        <f>'Demand calc &gt;&gt;&gt;'!K26*'Assumptions data'!$I27*'National data'!$K28*'National data'!$L28*$H27</f>
        <v>121007852.3535275</v>
      </c>
      <c r="AI27" s="197">
        <f>'Demand calc &gt;&gt;&gt;'!K26*'Assumptions data'!$J27*'National data'!$N28*'National data'!$O28*$J27</f>
        <v>146464448.46521011</v>
      </c>
      <c r="AJ27" s="313">
        <f>'Demand calc &gt;&gt;&gt;'!L26*'Assumptions data'!$E27*'National data'!$E28*'National data'!$F28*D27</f>
        <v>59828376.461212516</v>
      </c>
      <c r="AK27" s="313">
        <f>'Demand calc &gt;&gt;&gt;'!L26*'Assumptions data'!$G27*'National data'!$H28*'National data'!$I28*$F27</f>
        <v>81253091.208753437</v>
      </c>
      <c r="AL27" s="313">
        <f>'Demand calc &gt;&gt;&gt;'!L26*'Assumptions data'!$I27*'National data'!$K28*'National data'!$L28*$H27</f>
        <v>50047858.341399342</v>
      </c>
      <c r="AM27" s="197">
        <f>'Demand calc &gt;&gt;&gt;'!L26*'Assumptions data'!$J27*'National data'!$N28*'National data'!$O28*$J27</f>
        <v>60576498.353367686</v>
      </c>
      <c r="AN27" s="313">
        <f>'Demand calc &gt;&gt;&gt;'!M26*'Assumptions data'!$E27*'National data'!$E28*'National data'!$F28*D27</f>
        <v>51192779.648515947</v>
      </c>
      <c r="AO27" s="313">
        <f>'Demand calc &gt;&gt;&gt;'!M26*'Assumptions data'!$G27*'National data'!$H28*'National data'!$I28*$F27</f>
        <v>69525062.186957121</v>
      </c>
      <c r="AP27" s="313">
        <f>'Demand calc &gt;&gt;&gt;'!M26*'Assumptions data'!$I27*'National data'!$K28*'National data'!$L28*$H27</f>
        <v>42823976.438879833</v>
      </c>
      <c r="AQ27" s="197">
        <f>'Demand calc &gt;&gt;&gt;'!M26*'Assumptions data'!$J27*'National data'!$N28*'National data'!$O28*$J27</f>
        <v>51832918.014967516</v>
      </c>
      <c r="AR27" s="313">
        <f>'Demand calc &gt;&gt;&gt;'!N26*'Assumptions data'!$E27*'National data'!$E28*'National data'!$F28*D27</f>
        <v>3048956.2334864931</v>
      </c>
      <c r="AS27" s="313">
        <f>'Demand calc &gt;&gt;&gt;'!N26*'Assumptions data'!$G27*'National data'!$H28*'National data'!$I28*$F27</f>
        <v>4140796.2840440171</v>
      </c>
      <c r="AT27" s="313">
        <f>'Demand calc &gt;&gt;&gt;'!N26*'Assumptions data'!$I27*'National data'!$K28*'National data'!$L28*$H27</f>
        <v>2550524.3278929177</v>
      </c>
      <c r="AU27" s="197">
        <f>'Demand calc &gt;&gt;&gt;'!N26*'Assumptions data'!$J27*'National data'!$N28*'National data'!$O28*$J27</f>
        <v>3087081.8026797846</v>
      </c>
      <c r="AV27" s="313">
        <f>'Demand calc &gt;&gt;&gt;'!O26*'Assumptions data'!$E27*'National data'!$E28*'National data'!$F28*D27</f>
        <v>222009453.54180017</v>
      </c>
      <c r="AW27" s="313">
        <f>'Demand calc &gt;&gt;&gt;'!O26*'Assumptions data'!$G27*'National data'!$H28*'National data'!$I28*$F27</f>
        <v>301511681.32620597</v>
      </c>
      <c r="AX27" s="313">
        <f>'Demand calc &gt;&gt;&gt;'!O26*'Assumptions data'!$I27*'National data'!$K28*'National data'!$L28*$H27</f>
        <v>185716182.49602604</v>
      </c>
      <c r="AY27" s="197">
        <f>'Demand calc &gt;&gt;&gt;'!O26*'Assumptions data'!$J27*'National data'!$N28*'National data'!$O28*$J27</f>
        <v>224785563.17879999</v>
      </c>
    </row>
    <row r="28" spans="1:51">
      <c r="A28" s="9">
        <v>26</v>
      </c>
      <c r="B28" s="1" t="s">
        <v>439</v>
      </c>
      <c r="C28" s="1" t="s">
        <v>440</v>
      </c>
      <c r="D28" s="301">
        <f t="shared" si="0"/>
        <v>8.7468750000000046</v>
      </c>
      <c r="E28" s="313">
        <f>'Demand calc &gt;&gt;&gt;'!$E27*'Assumptions data'!$E28*'National data'!$E29*'National data'!$F29*D28</f>
        <v>163576751.63750011</v>
      </c>
      <c r="F28" s="301">
        <f t="shared" si="1"/>
        <v>97.47</v>
      </c>
      <c r="G28" s="313">
        <f>'Demand calc &gt;&gt;&gt;'!E27*'Assumptions data'!$G28*'National data'!$H29*'National data'!$I29*$F28</f>
        <v>222154059.77212504</v>
      </c>
      <c r="H28" s="301">
        <f t="shared" si="3"/>
        <v>45.027500000000003</v>
      </c>
      <c r="I28" s="313">
        <f>'Demand calc &gt;&gt;&gt;'!E27*'Assumptions data'!$I28*'National data'!$K29*'National data'!$L29*$H28</f>
        <v>136835839.08059725</v>
      </c>
      <c r="J28" s="323">
        <f t="shared" si="2"/>
        <v>31.142857142857142</v>
      </c>
      <c r="K28" s="197">
        <f>'Demand calc &gt;&gt;&gt;'!E27*'Assumptions data'!$J28*'National data'!$N29*'National data'!$O29*J28</f>
        <v>165622191.54722223</v>
      </c>
      <c r="L28" s="313">
        <f>'Demand calc &gt;&gt;&gt;'!$F27*'Assumptions data'!$E28*'National data'!$E29*'National data'!$F29*$D28</f>
        <v>42437205.674715415</v>
      </c>
      <c r="M28" s="313">
        <f>'Demand calc &gt;&gt;&gt;'!$F27*'Assumptions data'!$G28*'National data'!$H29*'National data'!$I29*$F28</f>
        <v>57634091.835464753</v>
      </c>
      <c r="N28" s="313">
        <f>'Demand calc &gt;&gt;&gt;'!$F27*'Assumptions data'!$I28*'National data'!$K29*'National data'!$L29*$H28</f>
        <v>35499730.790621243</v>
      </c>
      <c r="O28" s="197">
        <f>'Demand calc &gt;&gt;&gt;'!$F27*'Assumptions data'!$J28*'National data'!$N29*'National data'!$O29*$J28</f>
        <v>42967860.265145913</v>
      </c>
      <c r="P28" s="313">
        <f>'Demand calc &gt;&gt;&gt;'!$G27*'Assumptions data'!$E28*'National data'!$E29*'National data'!$F29*$D28</f>
        <v>37209290.004243746</v>
      </c>
      <c r="Q28" s="313">
        <f>'Demand calc &gt;&gt;&gt;'!$G27*'Assumptions data'!$G28*'National data'!$H29*'National data'!$I29*$F28</f>
        <v>50534044.434380777</v>
      </c>
      <c r="R28" s="313">
        <f>'Demand calc &gt;&gt;&gt;'!$G27*'Assumptions data'!$I28*'National data'!$K29*'National data'!$L29*$H28</f>
        <v>31126455.124914754</v>
      </c>
      <c r="S28" s="197">
        <f>'Demand calc &gt;&gt;&gt;'!$G27*'Assumptions data'!$J28*'National data'!$N29*'National data'!$O29*$J28</f>
        <v>37674572.301545814</v>
      </c>
      <c r="T28" s="313">
        <f>'Demand calc &gt;&gt;&gt;'!$H27*'Assumptions data'!$E28*'National data'!$E29*'National data'!$F29*$D28</f>
        <v>79517639.576140657</v>
      </c>
      <c r="U28" s="313">
        <f>'Demand calc &gt;&gt;&gt;'!$H27*'Assumptions data'!$G28*'National data'!$H29*'National data'!$I29*$F28</f>
        <v>107993136.42371225</v>
      </c>
      <c r="V28" s="313">
        <f>'Demand calc &gt;&gt;&gt;'!$H27*'Assumptions data'!$I28*'National data'!$K29*'National data'!$L29*$H28</f>
        <v>66518394.724102512</v>
      </c>
      <c r="W28" s="197">
        <f>'Demand calc &gt;&gt;&gt;'!$H27*'Assumptions data'!$J28*'National data'!$N29*'National data'!$O29*$J28</f>
        <v>80511965.187132001</v>
      </c>
      <c r="X28" s="313">
        <f>'Demand calc &gt;&gt;&gt;'!$I27*'Assumptions data'!$E28*'National data'!$E29*'National data'!$F29*$D28</f>
        <v>4658923.1080636391</v>
      </c>
      <c r="Y28" s="313">
        <f>'Demand calc &gt;&gt;&gt;'!$I27*'Assumptions data'!$G28*'National data'!$H29*'National data'!$I29*$F28</f>
        <v>6327296.9554753629</v>
      </c>
      <c r="Z28" s="313">
        <f>'Demand calc &gt;&gt;&gt;'!$I27*'Assumptions data'!$I28*'National data'!$K29*'National data'!$L29*$H28</f>
        <v>3897299.8688508188</v>
      </c>
      <c r="AA28" s="197">
        <f>'Demand calc &gt;&gt;&gt;'!$I27*'Assumptions data'!$J28*'National data'!$N29*'National data'!$O29*$J28</f>
        <v>4717180.4531090911</v>
      </c>
      <c r="AB28" s="313">
        <f>'Demand calc &gt;&gt;&gt;'!$J27*'Assumptions data'!$E28*'National data'!$E29*'National data'!$F29*D28</f>
        <v>45501768.562499985</v>
      </c>
      <c r="AC28" s="313">
        <f>'Demand calc &gt;&gt;&gt;'!J27*'Assumptions data'!$G28*'National data'!$H29*'National data'!$I29*$F28</f>
        <v>61796083.561874941</v>
      </c>
      <c r="AD28" s="313">
        <f>'Demand calc &gt;&gt;&gt;'!J27*'Assumptions data'!$I28*'National data'!$K29*'National data'!$L29*$H28</f>
        <v>38063310.455624968</v>
      </c>
      <c r="AE28" s="197">
        <f>'Demand calc &gt;&gt;&gt;'!J27*'Assumptions data'!$J28*'National data'!$N29*'National data'!$O29*$J28</f>
        <v>46070743.874999955</v>
      </c>
      <c r="AF28" s="313">
        <f>'Demand calc &gt;&gt;&gt;'!$K27*'Assumptions data'!$E28*'National data'!$E29*'National data'!$F29*D28</f>
        <v>32134824.261333052</v>
      </c>
      <c r="AG28" s="313">
        <f>'Demand calc &gt;&gt;&gt;'!$K27*'Assumptions data'!$G28*'National data'!$H29*'National data'!$I29*$F28</f>
        <v>43642397.823984668</v>
      </c>
      <c r="AH28" s="313">
        <f>'Demand calc &gt;&gt;&gt;'!K27*'Assumptions data'!$I28*'National data'!$K29*'National data'!$L29*$H28</f>
        <v>26881543.969350848</v>
      </c>
      <c r="AI28" s="197">
        <f>'Demand calc &gt;&gt;&gt;'!K27*'Assumptions data'!$J28*'National data'!$N29*'National data'!$O29*$J28</f>
        <v>32536653.074890248</v>
      </c>
      <c r="AJ28" s="313">
        <f>'Demand calc &gt;&gt;&gt;'!L27*'Assumptions data'!$E28*'National data'!$E29*'National data'!$F29*D28</f>
        <v>8422545.5040003434</v>
      </c>
      <c r="AK28" s="313">
        <f>'Demand calc &gt;&gt;&gt;'!L27*'Assumptions data'!$G28*'National data'!$H29*'National data'!$I29*$F28</f>
        <v>11438683.422908755</v>
      </c>
      <c r="AL28" s="313">
        <f>'Demand calc &gt;&gt;&gt;'!L27*'Assumptions data'!$I28*'National data'!$K29*'National data'!$L29*$H28</f>
        <v>7045659.4210187625</v>
      </c>
      <c r="AM28" s="197">
        <f>'Demand calc &gt;&gt;&gt;'!L27*'Assumptions data'!$J28*'National data'!$N29*'National data'!$O29*$J28</f>
        <v>8527864.9368835147</v>
      </c>
      <c r="AN28" s="313">
        <f>'Demand calc &gt;&gt;&gt;'!M27*'Assumptions data'!$E28*'National data'!$E29*'National data'!$F29*D28</f>
        <v>8190941.5335250413</v>
      </c>
      <c r="AO28" s="313">
        <f>'Demand calc &gt;&gt;&gt;'!M27*'Assumptions data'!$G28*'National data'!$H29*'National data'!$I29*$F28</f>
        <v>11124141.400369678</v>
      </c>
      <c r="AP28" s="313">
        <f>'Demand calc &gt;&gt;&gt;'!M27*'Assumptions data'!$I28*'National data'!$K29*'National data'!$L29*$H28</f>
        <v>6851917.1971566733</v>
      </c>
      <c r="AQ28" s="197">
        <f>'Demand calc &gt;&gt;&gt;'!M27*'Assumptions data'!$J28*'National data'!$N29*'National data'!$O29*$J28</f>
        <v>8293364.8824615767</v>
      </c>
      <c r="AR28" s="313">
        <f>'Demand calc &gt;&gt;&gt;'!N27*'Assumptions data'!$E28*'National data'!$E29*'National data'!$F29*D28</f>
        <v>800262.05254859186</v>
      </c>
      <c r="AS28" s="313">
        <f>'Demand calc &gt;&gt;&gt;'!N27*'Assumptions data'!$G28*'National data'!$H29*'National data'!$I29*$F28</f>
        <v>1086838.2094371335</v>
      </c>
      <c r="AT28" s="313">
        <f>'Demand calc &gt;&gt;&gt;'!N27*'Assumptions data'!$I28*'National data'!$K29*'National data'!$L29*$H28</f>
        <v>669438.21997100697</v>
      </c>
      <c r="AU28" s="197">
        <f>'Demand calc &gt;&gt;&gt;'!N27*'Assumptions data'!$J28*'National data'!$N29*'National data'!$O29*$J28</f>
        <v>810268.90208028152</v>
      </c>
      <c r="AV28" s="313">
        <f>'Demand calc &gt;&gt;&gt;'!O27*'Assumptions data'!$E28*'National data'!$E29*'National data'!$F29*D28</f>
        <v>33741020.770200022</v>
      </c>
      <c r="AW28" s="313">
        <f>'Demand calc &gt;&gt;&gt;'!O27*'Assumptions data'!$G28*'National data'!$H29*'National data'!$I29*$F28</f>
        <v>45823777.950833991</v>
      </c>
      <c r="AX28" s="313">
        <f>'Demand calc &gt;&gt;&gt;'!O27*'Assumptions data'!$I28*'National data'!$K29*'National data'!$L29*$H28</f>
        <v>28225165.509813998</v>
      </c>
      <c r="AY28" s="197">
        <f>'Demand calc &gt;&gt;&gt;'!O27*'Assumptions data'!$J28*'National data'!$N29*'National data'!$O29*$J28</f>
        <v>34162934.213199995</v>
      </c>
    </row>
    <row r="29" spans="1:51">
      <c r="A29" s="9">
        <v>27</v>
      </c>
      <c r="B29" s="1" t="s">
        <v>444</v>
      </c>
      <c r="C29" s="1" t="s">
        <v>445</v>
      </c>
      <c r="D29" s="301">
        <f t="shared" si="0"/>
        <v>8.7468750000000046</v>
      </c>
      <c r="E29" s="313">
        <f>'Demand calc &gt;&gt;&gt;'!$E28*'Assumptions data'!$E29*'National data'!$E30*'National data'!$F30*D29</f>
        <v>233386096.82597527</v>
      </c>
      <c r="F29" s="301">
        <f t="shared" si="1"/>
        <v>97.47</v>
      </c>
      <c r="G29" s="313">
        <f>'Demand calc &gt;&gt;&gt;'!E28*'Assumptions data'!$G29*'National data'!$H30*'National data'!$I30*$F29</f>
        <v>316962333.4932062</v>
      </c>
      <c r="H29" s="301">
        <f t="shared" si="3"/>
        <v>45.027500000000003</v>
      </c>
      <c r="I29" s="313">
        <f>'Demand calc &gt;&gt;&gt;'!E28*'Assumptions data'!$I29*'National data'!$K30*'National data'!$L30*$H29</f>
        <v>195233014.8950493</v>
      </c>
      <c r="J29" s="323">
        <f t="shared" si="2"/>
        <v>31.142857142857142</v>
      </c>
      <c r="K29" s="197">
        <f>'Demand calc &gt;&gt;&gt;'!E28*'Assumptions data'!$J29*'National data'!$N30*'National data'!$O30*J29</f>
        <v>236304465.31075868</v>
      </c>
      <c r="L29" s="313">
        <f>'Demand calc &gt;&gt;&gt;'!$F28*'Assumptions data'!$E29*'National data'!$E30*'National data'!$F30*$D29</f>
        <v>58018018.818738997</v>
      </c>
      <c r="M29" s="313">
        <f>'Demand calc &gt;&gt;&gt;'!$F28*'Assumptions data'!$G29*'National data'!$H30*'National data'!$I30*$F29</f>
        <v>78794439.255533025</v>
      </c>
      <c r="N29" s="313">
        <f>'Demand calc &gt;&gt;&gt;'!$F28*'Assumptions data'!$I29*'National data'!$K30*'National data'!$L30*$H29</f>
        <v>48533451.162115037</v>
      </c>
      <c r="O29" s="197">
        <f>'Demand calc &gt;&gt;&gt;'!$F28*'Assumptions data'!$J29*'National data'!$N30*'National data'!$O30*$J29</f>
        <v>58743503.155522041</v>
      </c>
      <c r="P29" s="313">
        <f>'Demand calc &gt;&gt;&gt;'!$G28*'Assumptions data'!$E29*'National data'!$E30*'National data'!$F30*$D29</f>
        <v>53554858.441425063</v>
      </c>
      <c r="Q29" s="313">
        <f>'Demand calc &gt;&gt;&gt;'!$G28*'Assumptions data'!$G29*'National data'!$H30*'National data'!$I30*$F29</f>
        <v>72733008.231204793</v>
      </c>
      <c r="R29" s="313">
        <f>'Demand calc &gt;&gt;&gt;'!$G28*'Assumptions data'!$I29*'National data'!$K30*'National data'!$L30*$H29</f>
        <v>44799911.468562283</v>
      </c>
      <c r="S29" s="197">
        <f>'Demand calc &gt;&gt;&gt;'!$G28*'Assumptions data'!$J29*'National data'!$N30*'National data'!$O30*$J29</f>
        <v>54224533.34155003</v>
      </c>
      <c r="T29" s="313">
        <f>'Demand calc &gt;&gt;&gt;'!$H28*'Assumptions data'!$E29*'National data'!$E30*'National data'!$F30*$D29</f>
        <v>141002831.62153897</v>
      </c>
      <c r="U29" s="313">
        <f>'Demand calc &gt;&gt;&gt;'!$H28*'Assumptions data'!$G29*'National data'!$H30*'National data'!$I30*$F29</f>
        <v>191496353.67199156</v>
      </c>
      <c r="V29" s="313">
        <f>'Demand calc &gt;&gt;&gt;'!$H28*'Assumptions data'!$I29*'National data'!$K30*'National data'!$L30*$H29</f>
        <v>117952218.66510175</v>
      </c>
      <c r="W29" s="197">
        <f>'Demand calc &gt;&gt;&gt;'!$H28*'Assumptions data'!$J29*'National data'!$N30*'National data'!$O30*$J29</f>
        <v>142765996.71862847</v>
      </c>
      <c r="X29" s="313">
        <f>'Demand calc &gt;&gt;&gt;'!$I28*'Assumptions data'!$E29*'National data'!$E30*'National data'!$F30*$D29</f>
        <v>4857660.4629807724</v>
      </c>
      <c r="Y29" s="313">
        <f>'Demand calc &gt;&gt;&gt;'!$I28*'Assumptions data'!$G29*'National data'!$H30*'National data'!$I30*$F29</f>
        <v>6597202.7323125005</v>
      </c>
      <c r="Z29" s="313">
        <f>'Demand calc &gt;&gt;&gt;'!$I28*'Assumptions data'!$I29*'National data'!$K30*'National data'!$L30*$H29</f>
        <v>4063548.3879375011</v>
      </c>
      <c r="AA29" s="197">
        <f>'Demand calc &gt;&gt;&gt;'!$I28*'Assumptions data'!$J29*'National data'!$N30*'National data'!$O30*$J29</f>
        <v>4918402.9124999996</v>
      </c>
      <c r="AB29" s="313">
        <f>'Demand calc &gt;&gt;&gt;'!$J28*'Assumptions data'!$E29*'National data'!$E30*'National data'!$F30*D29</f>
        <v>56613881.242458083</v>
      </c>
      <c r="AC29" s="313">
        <f>'Demand calc &gt;&gt;&gt;'!J28*'Assumptions data'!$G29*'National data'!$H30*'National data'!$I30*$F29</f>
        <v>76887475.949765295</v>
      </c>
      <c r="AD29" s="313">
        <f>'Demand calc &gt;&gt;&gt;'!J28*'Assumptions data'!$I29*'National data'!$K30*'National data'!$L30*$H29</f>
        <v>47358856.719374277</v>
      </c>
      <c r="AE29" s="197">
        <f>'Demand calc &gt;&gt;&gt;'!J28*'Assumptions data'!$J29*'National data'!$N30*'National data'!$O30*$J29</f>
        <v>57321807.588826761</v>
      </c>
      <c r="AF29" s="313">
        <f>'Demand calc &gt;&gt;&gt;'!$K28*'Assumptions data'!$E29*'National data'!$E30*'National data'!$F30*D29</f>
        <v>36737724.726351663</v>
      </c>
      <c r="AG29" s="313">
        <f>'Demand calc &gt;&gt;&gt;'!$K28*'Assumptions data'!$G29*'National data'!$H30*'National data'!$I30*$F29</f>
        <v>49893610.265817188</v>
      </c>
      <c r="AH29" s="313">
        <f>'Demand calc &gt;&gt;&gt;'!K28*'Assumptions data'!$I29*'National data'!$K30*'National data'!$L30*$H29</f>
        <v>30731979.566281367</v>
      </c>
      <c r="AI29" s="197">
        <f>'Demand calc &gt;&gt;&gt;'!K28*'Assumptions data'!$J29*'National data'!$N30*'National data'!$O30*$J29</f>
        <v>37197110.351725817</v>
      </c>
      <c r="AJ29" s="313">
        <f>'Demand calc &gt;&gt;&gt;'!L28*'Assumptions data'!$E29*'National data'!$E30*'National data'!$F30*D29</f>
        <v>13251798.118812321</v>
      </c>
      <c r="AK29" s="313">
        <f>'Demand calc &gt;&gt;&gt;'!L28*'Assumptions data'!$G29*'National data'!$H30*'National data'!$I30*$F29</f>
        <v>17997305.374414004</v>
      </c>
      <c r="AL29" s="313">
        <f>'Demand calc &gt;&gt;&gt;'!L28*'Assumptions data'!$I29*'National data'!$K30*'National data'!$L30*$H29</f>
        <v>11085443.969035625</v>
      </c>
      <c r="AM29" s="197">
        <f>'Demand calc &gt;&gt;&gt;'!L28*'Assumptions data'!$J29*'National data'!$N30*'National data'!$O30*$J29</f>
        <v>13417504.776246548</v>
      </c>
      <c r="AN29" s="313">
        <f>'Demand calc &gt;&gt;&gt;'!M28*'Assumptions data'!$E29*'National data'!$E30*'National data'!$F30*D29</f>
        <v>17355123.199038938</v>
      </c>
      <c r="AO29" s="313">
        <f>'Demand calc &gt;&gt;&gt;'!M28*'Assumptions data'!$G29*'National data'!$H30*'National data'!$I30*$F29</f>
        <v>23570043.040443961</v>
      </c>
      <c r="AP29" s="313">
        <f>'Demand calc &gt;&gt;&gt;'!M28*'Assumptions data'!$I29*'National data'!$K30*'National data'!$L30*$H29</f>
        <v>14517972.887433268</v>
      </c>
      <c r="AQ29" s="197">
        <f>'Demand calc &gt;&gt;&gt;'!M28*'Assumptions data'!$J29*'National data'!$N30*'National data'!$O30*$J29</f>
        <v>17572139.744936161</v>
      </c>
      <c r="AR29" s="313">
        <f>'Demand calc &gt;&gt;&gt;'!N28*'Assumptions data'!$E29*'National data'!$E30*'National data'!$F30*D29</f>
        <v>760170.87173408479</v>
      </c>
      <c r="AS29" s="313">
        <f>'Demand calc &gt;&gt;&gt;'!N28*'Assumptions data'!$G29*'National data'!$H30*'National data'!$I30*$F29</f>
        <v>1032390.2607534572</v>
      </c>
      <c r="AT29" s="313">
        <f>'Demand calc &gt;&gt;&gt;'!N28*'Assumptions data'!$I29*'National data'!$K30*'National data'!$L30*$H29</f>
        <v>635900.99471394694</v>
      </c>
      <c r="AU29" s="197">
        <f>'Demand calc &gt;&gt;&gt;'!N28*'Assumptions data'!$J29*'National data'!$N30*'National data'!$O30*$J29</f>
        <v>769676.4024631636</v>
      </c>
      <c r="AV29" s="313">
        <f>'Demand calc &gt;&gt;&gt;'!O28*'Assumptions data'!$E29*'National data'!$E30*'National data'!$F30*D29</f>
        <v>72411525.301500037</v>
      </c>
      <c r="AW29" s="313">
        <f>'Demand calc &gt;&gt;&gt;'!O28*'Assumptions data'!$G29*'National data'!$H30*'National data'!$I30*$F29</f>
        <v>98342302.063005</v>
      </c>
      <c r="AX29" s="313">
        <f>'Demand calc &gt;&gt;&gt;'!O28*'Assumptions data'!$I29*'National data'!$K30*'National data'!$L30*$H29</f>
        <v>60573961.302855007</v>
      </c>
      <c r="AY29" s="197">
        <f>'Demand calc &gt;&gt;&gt;'!O28*'Assumptions data'!$J29*'National data'!$N30*'National data'!$O30*$J29</f>
        <v>73316992.748999998</v>
      </c>
    </row>
    <row r="30" spans="1:51">
      <c r="A30" s="9">
        <v>28</v>
      </c>
      <c r="B30" s="1" t="s">
        <v>449</v>
      </c>
      <c r="C30" s="1" t="s">
        <v>450</v>
      </c>
      <c r="D30" s="301">
        <f t="shared" si="0"/>
        <v>8.7468750000000046</v>
      </c>
      <c r="E30" s="313">
        <f>'Demand calc &gt;&gt;&gt;'!$E29*'Assumptions data'!$E30*'National data'!$E31*'National data'!$F31*D30</f>
        <v>454331800.15548408</v>
      </c>
      <c r="F30" s="301">
        <f t="shared" si="1"/>
        <v>97.47</v>
      </c>
      <c r="G30" s="313">
        <f>'Demand calc &gt;&gt;&gt;'!E29*'Assumptions data'!$G30*'National data'!$H31*'National data'!$I31*$F30</f>
        <v>617029332.57772231</v>
      </c>
      <c r="H30" s="301">
        <f t="shared" si="3"/>
        <v>45.027500000000003</v>
      </c>
      <c r="I30" s="313">
        <f>'Demand calc &gt;&gt;&gt;'!E29*'Assumptions data'!$I30*'National data'!$K31*'National data'!$L31*$H30</f>
        <v>380059345.06539994</v>
      </c>
      <c r="J30" s="323">
        <f t="shared" si="2"/>
        <v>31.142857142857142</v>
      </c>
      <c r="K30" s="197">
        <f>'Demand calc &gt;&gt;&gt;'!E29*'Assumptions data'!$J30*'National data'!$N31*'National data'!$O31*J30</f>
        <v>460012976.64903212</v>
      </c>
      <c r="L30" s="313">
        <f>'Demand calc &gt;&gt;&gt;'!$F29*'Assumptions data'!$E30*'National data'!$E31*'National data'!$F31*$D30</f>
        <v>102296005.00891967</v>
      </c>
      <c r="M30" s="313">
        <f>'Demand calc &gt;&gt;&gt;'!$F29*'Assumptions data'!$G30*'National data'!$H31*'National data'!$I31*$F30</f>
        <v>138928500.43606874</v>
      </c>
      <c r="N30" s="313">
        <f>'Demand calc &gt;&gt;&gt;'!$F29*'Assumptions data'!$I30*'National data'!$K31*'National data'!$L31*$H30</f>
        <v>85573038.588079557</v>
      </c>
      <c r="O30" s="197">
        <f>'Demand calc &gt;&gt;&gt;'!$F29*'Assumptions data'!$J30*'National data'!$N31*'National data'!$O31*$J30</f>
        <v>103575161.91328266</v>
      </c>
      <c r="P30" s="313">
        <f>'Demand calc &gt;&gt;&gt;'!$G29*'Assumptions data'!$E30*'National data'!$E31*'National data'!$F31*$D30</f>
        <v>56687335.251723073</v>
      </c>
      <c r="Q30" s="313">
        <f>'Demand calc &gt;&gt;&gt;'!$G29*'Assumptions data'!$G30*'National data'!$H31*'National data'!$I31*$F30</f>
        <v>76987234.05231595</v>
      </c>
      <c r="R30" s="313">
        <f>'Demand calc &gt;&gt;&gt;'!$G29*'Assumptions data'!$I30*'National data'!$K31*'National data'!$L31*$H30</f>
        <v>47420302.743280426</v>
      </c>
      <c r="S30" s="197">
        <f>'Demand calc &gt;&gt;&gt;'!$G29*'Assumptions data'!$J30*'National data'!$N31*'National data'!$O31*$J30</f>
        <v>57396180.101244397</v>
      </c>
      <c r="T30" s="313">
        <f>'Demand calc &gt;&gt;&gt;'!$H29*'Assumptions data'!$E30*'National data'!$E31*'National data'!$F31*$D30</f>
        <v>257952980.43361145</v>
      </c>
      <c r="U30" s="313">
        <f>'Demand calc &gt;&gt;&gt;'!$H29*'Assumptions data'!$G30*'National data'!$H31*'National data'!$I31*$F30</f>
        <v>350326689.21461219</v>
      </c>
      <c r="V30" s="313">
        <f>'Demand calc &gt;&gt;&gt;'!$H29*'Assumptions data'!$I30*'National data'!$K31*'National data'!$L31*$H30</f>
        <v>215783796.70477691</v>
      </c>
      <c r="W30" s="197">
        <f>'Demand calc &gt;&gt;&gt;'!$H29*'Assumptions data'!$J30*'National data'!$N31*'National data'!$O31*$J30</f>
        <v>261178544.67626092</v>
      </c>
      <c r="X30" s="313">
        <f>'Demand calc &gt;&gt;&gt;'!$I29*'Assumptions data'!$E30*'National data'!$E31*'National data'!$F31*$D30</f>
        <v>4310090.7681338191</v>
      </c>
      <c r="Y30" s="313">
        <f>'Demand calc &gt;&gt;&gt;'!$I29*'Assumptions data'!$G30*'National data'!$H31*'National data'!$I31*$F30</f>
        <v>5853546.7451340193</v>
      </c>
      <c r="Z30" s="313">
        <f>'Demand calc &gt;&gt;&gt;'!$I29*'Assumptions data'!$I30*'National data'!$K31*'National data'!$L31*$H30</f>
        <v>3605493.3287715483</v>
      </c>
      <c r="AA30" s="197">
        <f>'Demand calc &gt;&gt;&gt;'!$I29*'Assumptions data'!$J30*'National data'!$N31*'National data'!$O31*$J30</f>
        <v>4363986.1510865437</v>
      </c>
      <c r="AB30" s="313">
        <f>'Demand calc &gt;&gt;&gt;'!$J29*'Assumptions data'!$E30*'National data'!$E31*'National data'!$F31*D30</f>
        <v>132104356.35000016</v>
      </c>
      <c r="AC30" s="313">
        <f>'Demand calc &gt;&gt;&gt;'!J29*'Assumptions data'!$G30*'National data'!$H31*'National data'!$I31*$F30</f>
        <v>179411308.6545001</v>
      </c>
      <c r="AD30" s="313">
        <f>'Demand calc &gt;&gt;&gt;'!J29*'Assumptions data'!$I30*'National data'!$K31*'National data'!$L31*$H30</f>
        <v>110508432.68616676</v>
      </c>
      <c r="AE30" s="197">
        <f>'Demand calc &gt;&gt;&gt;'!J29*'Assumptions data'!$J30*'National data'!$N31*'National data'!$O31*$J30</f>
        <v>133756250.76666673</v>
      </c>
      <c r="AF30" s="313">
        <f>'Demand calc &gt;&gt;&gt;'!$K29*'Assumptions data'!$E30*'National data'!$E31*'National data'!$F31*D30</f>
        <v>83570299.28400369</v>
      </c>
      <c r="AG30" s="313">
        <f>'Demand calc &gt;&gt;&gt;'!$K29*'Assumptions data'!$G30*'National data'!$H31*'National data'!$I31*$F30</f>
        <v>113497065.30091518</v>
      </c>
      <c r="AH30" s="313">
        <f>'Demand calc &gt;&gt;&gt;'!K29*'Assumptions data'!$I30*'National data'!$K31*'National data'!$L31*$H30</f>
        <v>69908540.854785517</v>
      </c>
      <c r="AI30" s="197">
        <f>'Demand calc &gt;&gt;&gt;'!K29*'Assumptions data'!$J30*'National data'!$N31*'National data'!$O31*$J30</f>
        <v>84615301.240037993</v>
      </c>
      <c r="AJ30" s="313">
        <f>'Demand calc &gt;&gt;&gt;'!L29*'Assumptions data'!$E30*'National data'!$E31*'National data'!$F31*D30</f>
        <v>8520230.1210438069</v>
      </c>
      <c r="AK30" s="313">
        <f>'Demand calc &gt;&gt;&gt;'!L29*'Assumptions data'!$G30*'National data'!$H31*'National data'!$I31*$F30</f>
        <v>11571349.184004085</v>
      </c>
      <c r="AL30" s="313">
        <f>'Demand calc &gt;&gt;&gt;'!L29*'Assumptions data'!$I30*'National data'!$K31*'National data'!$L31*$H30</f>
        <v>7127374.9240141446</v>
      </c>
      <c r="AM30" s="197">
        <f>'Demand calc &gt;&gt;&gt;'!L29*'Assumptions data'!$J30*'National data'!$N31*'National data'!$O31*$J30</f>
        <v>8626771.0478878655</v>
      </c>
      <c r="AN30" s="313">
        <f>'Demand calc &gt;&gt;&gt;'!M29*'Assumptions data'!$E30*'National data'!$E31*'National data'!$F31*D30</f>
        <v>19053010.273681823</v>
      </c>
      <c r="AO30" s="313">
        <f>'Demand calc &gt;&gt;&gt;'!M29*'Assumptions data'!$G30*'National data'!$H31*'National data'!$I31*$F30</f>
        <v>25875948.390016034</v>
      </c>
      <c r="AP30" s="313">
        <f>'Demand calc &gt;&gt;&gt;'!M29*'Assumptions data'!$I30*'National data'!$K31*'National data'!$L31*$H30</f>
        <v>15938295.764596933</v>
      </c>
      <c r="AQ30" s="197">
        <f>'Demand calc &gt;&gt;&gt;'!M29*'Assumptions data'!$J30*'National data'!$N31*'National data'!$O31*$J30</f>
        <v>19291257.990573153</v>
      </c>
      <c r="AR30" s="313">
        <f>'Demand calc &gt;&gt;&gt;'!N29*'Assumptions data'!$E30*'National data'!$E31*'National data'!$F31*D30</f>
        <v>1190613.5186267737</v>
      </c>
      <c r="AS30" s="313">
        <f>'Demand calc &gt;&gt;&gt;'!N29*'Assumptions data'!$G30*'National data'!$H31*'National data'!$I31*$F30</f>
        <v>1616975.66515238</v>
      </c>
      <c r="AT30" s="313">
        <f>'Demand calc &gt;&gt;&gt;'!N29*'Assumptions data'!$I30*'National data'!$K31*'National data'!$L31*$H30</f>
        <v>995976.49550492526</v>
      </c>
      <c r="AU30" s="197">
        <f>'Demand calc &gt;&gt;&gt;'!N29*'Assumptions data'!$J30*'National data'!$N31*'National data'!$O31*$J30</f>
        <v>1205501.5047475079</v>
      </c>
      <c r="AV30" s="313">
        <f>'Demand calc &gt;&gt;&gt;'!O29*'Assumptions data'!$E30*'National data'!$E31*'National data'!$F31*D30</f>
        <v>114320501.66250005</v>
      </c>
      <c r="AW30" s="313">
        <f>'Demand calc &gt;&gt;&gt;'!O29*'Assumptions data'!$G30*'National data'!$H31*'National data'!$I31*$F30</f>
        <v>155259004.13887498</v>
      </c>
      <c r="AX30" s="313">
        <f>'Demand calc &gt;&gt;&gt;'!O29*'Assumptions data'!$I30*'National data'!$K31*'National data'!$L31*$H30</f>
        <v>95631815.722625017</v>
      </c>
      <c r="AY30" s="197">
        <f>'Demand calc &gt;&gt;&gt;'!O29*'Assumptions data'!$J30*'National data'!$N31*'National data'!$O31*$J30</f>
        <v>115750018.47499999</v>
      </c>
    </row>
    <row r="31" spans="1:51">
      <c r="A31" s="9">
        <v>29</v>
      </c>
      <c r="B31" s="1" t="s">
        <v>454</v>
      </c>
      <c r="C31" s="1" t="s">
        <v>455</v>
      </c>
      <c r="D31" s="301">
        <f t="shared" si="0"/>
        <v>8.7468750000000046</v>
      </c>
      <c r="E31" s="313">
        <f>'Demand calc &gt;&gt;&gt;'!$E30*'Assumptions data'!$E31*'National data'!$E32*'National data'!$F32*D31</f>
        <v>199490797.44958434</v>
      </c>
      <c r="F31" s="301">
        <f t="shared" si="1"/>
        <v>97.47</v>
      </c>
      <c r="G31" s="313">
        <f>'Demand calc &gt;&gt;&gt;'!E30*'Assumptions data'!$G31*'National data'!$H32*'National data'!$I32*$F31</f>
        <v>270929029.32083881</v>
      </c>
      <c r="H31" s="301">
        <f t="shared" si="3"/>
        <v>45.027500000000003</v>
      </c>
      <c r="I31" s="313">
        <f>'Demand calc &gt;&gt;&gt;'!E30*'Assumptions data'!$I31*'National data'!$K32*'National data'!$L32*$H31</f>
        <v>166878791.66573063</v>
      </c>
      <c r="J31" s="323">
        <f t="shared" si="2"/>
        <v>31.142857142857142</v>
      </c>
      <c r="K31" s="197">
        <f>'Demand calc &gt;&gt;&gt;'!E30*'Assumptions data'!$J31*'National data'!$N32*'National data'!$O32*J31</f>
        <v>201985323.3198005</v>
      </c>
      <c r="L31" s="313">
        <f>'Demand calc &gt;&gt;&gt;'!$F30*'Assumptions data'!$E31*'National data'!$E32*'National data'!$F32*$D31</f>
        <v>25245126.509551898</v>
      </c>
      <c r="M31" s="313">
        <f>'Demand calc &gt;&gt;&gt;'!$F30*'Assumptions data'!$G31*'National data'!$H32*'National data'!$I32*$F31</f>
        <v>34285479.369258612</v>
      </c>
      <c r="N31" s="313">
        <f>'Demand calc &gt;&gt;&gt;'!$F30*'Assumptions data'!$I31*'National data'!$K32*'National data'!$L32*$H31</f>
        <v>21118148.111204028</v>
      </c>
      <c r="O31" s="197">
        <f>'Demand calc &gt;&gt;&gt;'!$F30*'Assumptions data'!$J31*'National data'!$N32*'National data'!$O32*$J31</f>
        <v>25560803.332643811</v>
      </c>
      <c r="P31" s="313">
        <f>'Demand calc &gt;&gt;&gt;'!$G30*'Assumptions data'!$E31*'National data'!$E32*'National data'!$F32*$D31</f>
        <v>46032263.936834469</v>
      </c>
      <c r="Q31" s="313">
        <f>'Demand calc &gt;&gt;&gt;'!$G30*'Assumptions data'!$G31*'National data'!$H32*'National data'!$I32*$F31</f>
        <v>62516550.864954226</v>
      </c>
      <c r="R31" s="313">
        <f>'Demand calc &gt;&gt;&gt;'!$G30*'Assumptions data'!$I31*'National data'!$K32*'National data'!$L32*$H31</f>
        <v>38507082.440022253</v>
      </c>
      <c r="S31" s="197">
        <f>'Demand calc &gt;&gt;&gt;'!$G30*'Assumptions data'!$J31*'National data'!$N32*'National data'!$O32*$J31</f>
        <v>46607872.81064266</v>
      </c>
      <c r="T31" s="313">
        <f>'Demand calc &gt;&gt;&gt;'!$H30*'Assumptions data'!$E31*'National data'!$E32*'National data'!$F32*$D31</f>
        <v>101980537.99332209</v>
      </c>
      <c r="U31" s="313">
        <f>'Demand calc &gt;&gt;&gt;'!$H30*'Assumptions data'!$G31*'National data'!$H32*'National data'!$I32*$F31</f>
        <v>138500063.76925862</v>
      </c>
      <c r="V31" s="313">
        <f>'Demand calc &gt;&gt;&gt;'!$H30*'Assumptions data'!$I31*'National data'!$K32*'National data'!$L32*$H31</f>
        <v>85309142.934513763</v>
      </c>
      <c r="W31" s="197">
        <f>'Demand calc &gt;&gt;&gt;'!$H30*'Assumptions data'!$J31*'National data'!$N32*'National data'!$O32*$J31</f>
        <v>103255750.15115206</v>
      </c>
      <c r="X31" s="313">
        <f>'Demand calc &gt;&gt;&gt;'!$I30*'Assumptions data'!$E31*'National data'!$E32*'National data'!$F32*$D31</f>
        <v>1655939.9155080752</v>
      </c>
      <c r="Y31" s="313">
        <f>'Demand calc &gt;&gt;&gt;'!$I30*'Assumptions data'!$G31*'National data'!$H32*'National data'!$I32*$F31</f>
        <v>2248936.7913605953</v>
      </c>
      <c r="Z31" s="313">
        <f>'Demand calc &gt;&gt;&gt;'!$I30*'Assumptions data'!$I31*'National data'!$K32*'National data'!$L32*$H31</f>
        <v>1385233.0819464347</v>
      </c>
      <c r="AA31" s="197">
        <f>'Demand calc &gt;&gt;&gt;'!$I30*'Assumptions data'!$J31*'National data'!$N32*'National data'!$O32*$J31</f>
        <v>1676646.5596819872</v>
      </c>
      <c r="AB31" s="313">
        <f>'Demand calc &gt;&gt;&gt;'!$J30*'Assumptions data'!$E31*'National data'!$E32*'National data'!$F32*D31</f>
        <v>42772848.524999999</v>
      </c>
      <c r="AC31" s="313">
        <f>'Demand calc &gt;&gt;&gt;'!J30*'Assumptions data'!$G31*'National data'!$H32*'National data'!$I32*$F31</f>
        <v>58089929.361749969</v>
      </c>
      <c r="AD31" s="313">
        <f>'Demand calc &gt;&gt;&gt;'!J30*'Assumptions data'!$I31*'National data'!$K32*'National data'!$L32*$H31</f>
        <v>35780504.009249978</v>
      </c>
      <c r="AE31" s="197">
        <f>'Demand calc &gt;&gt;&gt;'!J30*'Assumptions data'!$J31*'National data'!$N32*'National data'!$O32*$J31</f>
        <v>43307700.149999976</v>
      </c>
      <c r="AF31" s="313">
        <f>'Demand calc &gt;&gt;&gt;'!$K30*'Assumptions data'!$E31*'National data'!$E32*'National data'!$F32*D31</f>
        <v>27991067.278733723</v>
      </c>
      <c r="AG31" s="313">
        <f>'Demand calc &gt;&gt;&gt;'!$K30*'Assumptions data'!$G31*'National data'!$H32*'National data'!$I32*$F31</f>
        <v>38014749.474336833</v>
      </c>
      <c r="AH31" s="313">
        <f>'Demand calc &gt;&gt;&gt;'!K30*'Assumptions data'!$I31*'National data'!$K32*'National data'!$L32*$H31</f>
        <v>23415192.804017674</v>
      </c>
      <c r="AI31" s="197">
        <f>'Demand calc &gt;&gt;&gt;'!K30*'Assumptions data'!$J31*'National data'!$N32*'National data'!$O32*$J31</f>
        <v>28341080.624484215</v>
      </c>
      <c r="AJ31" s="313">
        <f>'Demand calc &gt;&gt;&gt;'!L30*'Assumptions data'!$E31*'National data'!$E32*'National data'!$F32*D31</f>
        <v>12666706.027279932</v>
      </c>
      <c r="AK31" s="313">
        <f>'Demand calc &gt;&gt;&gt;'!L30*'Assumptions data'!$G31*'National data'!$H32*'National data'!$I32*$F31</f>
        <v>17202690.111711323</v>
      </c>
      <c r="AL31" s="313">
        <f>'Demand calc &gt;&gt;&gt;'!L30*'Assumptions data'!$I31*'National data'!$K32*'National data'!$L32*$H31</f>
        <v>10596000.533567002</v>
      </c>
      <c r="AM31" s="197">
        <f>'Demand calc &gt;&gt;&gt;'!L30*'Assumptions data'!$J31*'National data'!$N32*'National data'!$O32*$J31</f>
        <v>12825096.420618543</v>
      </c>
      <c r="AN31" s="313">
        <f>'Demand calc &gt;&gt;&gt;'!M30*'Assumptions data'!$E31*'National data'!$E32*'National data'!$F32*D31</f>
        <v>11097617.021571722</v>
      </c>
      <c r="AO31" s="313">
        <f>'Demand calc &gt;&gt;&gt;'!M30*'Assumptions data'!$G31*'National data'!$H32*'National data'!$I32*$F31</f>
        <v>15071705.792286964</v>
      </c>
      <c r="AP31" s="313">
        <f>'Demand calc &gt;&gt;&gt;'!M30*'Assumptions data'!$I31*'National data'!$K32*'National data'!$L32*$H31</f>
        <v>9283420.3011142071</v>
      </c>
      <c r="AQ31" s="197">
        <f>'Demand calc &gt;&gt;&gt;'!M30*'Assumptions data'!$J31*'National data'!$N32*'National data'!$O32*$J31</f>
        <v>11236386.79497472</v>
      </c>
      <c r="AR31" s="313">
        <f>'Demand calc &gt;&gt;&gt;'!N30*'Assumptions data'!$E31*'National data'!$E32*'National data'!$F32*D31</f>
        <v>372477.60919999913</v>
      </c>
      <c r="AS31" s="313">
        <f>'Demand calc &gt;&gt;&gt;'!N30*'Assumptions data'!$G31*'National data'!$H32*'National data'!$I32*$F31</f>
        <v>505862.91896399856</v>
      </c>
      <c r="AT31" s="313">
        <f>'Demand calc &gt;&gt;&gt;'!N30*'Assumptions data'!$I31*'National data'!$K32*'National data'!$L32*$H31</f>
        <v>311586.36959955475</v>
      </c>
      <c r="AU31" s="197">
        <f>'Demand calc &gt;&gt;&gt;'!N30*'Assumptions data'!$J31*'National data'!$N32*'National data'!$O32*$J31</f>
        <v>377135.24275555444</v>
      </c>
      <c r="AV31" s="313">
        <f>'Demand calc &gt;&gt;&gt;'!O30*'Assumptions data'!$E31*'National data'!$E32*'National data'!$F32*D31</f>
        <v>29184716.203200024</v>
      </c>
      <c r="AW31" s="313">
        <f>'Demand calc &gt;&gt;&gt;'!O30*'Assumptions data'!$G31*'National data'!$H32*'National data'!$I32*$F31</f>
        <v>39635847.532944001</v>
      </c>
      <c r="AX31" s="313">
        <f>'Demand calc &gt;&gt;&gt;'!O30*'Assumptions data'!$I31*'National data'!$K32*'National data'!$L32*$H31</f>
        <v>24413708.48862401</v>
      </c>
      <c r="AY31" s="197">
        <f>'Demand calc &gt;&gt;&gt;'!O30*'Assumptions data'!$J31*'National data'!$N32*'National data'!$O32*$J31</f>
        <v>29549655.491200004</v>
      </c>
    </row>
    <row r="32" spans="1:51">
      <c r="A32" s="9">
        <v>30</v>
      </c>
      <c r="B32" s="1" t="s">
        <v>459</v>
      </c>
      <c r="C32" s="1" t="s">
        <v>460</v>
      </c>
      <c r="D32" s="301">
        <f t="shared" si="0"/>
        <v>8.7468750000000046</v>
      </c>
      <c r="E32" s="313">
        <f>'Demand calc &gt;&gt;&gt;'!$E31*'Assumptions data'!$E32*'National data'!$E33*'National data'!$F33*D32</f>
        <v>902872439.41517854</v>
      </c>
      <c r="F32" s="301">
        <f t="shared" si="1"/>
        <v>97.47</v>
      </c>
      <c r="G32" s="313">
        <f>'Demand calc &gt;&gt;&gt;'!E31*'Assumptions data'!$G32*'National data'!$H33*'National data'!$I33*$F32</f>
        <v>1226193672.7838864</v>
      </c>
      <c r="H32" s="301">
        <f t="shared" si="3"/>
        <v>45.027500000000003</v>
      </c>
      <c r="I32" s="313">
        <f>'Demand calc &gt;&gt;&gt;'!E31*'Assumptions data'!$I32*'National data'!$K33*'National data'!$L33*$H32</f>
        <v>755274246.45226169</v>
      </c>
      <c r="J32" s="323">
        <f t="shared" si="2"/>
        <v>31.142857142857142</v>
      </c>
      <c r="K32" s="197">
        <f>'Demand calc &gt;&gt;&gt;'!E31*'Assumptions data'!$J32*'National data'!$N33*'National data'!$O33*J32</f>
        <v>914162377.02844369</v>
      </c>
      <c r="L32" s="313">
        <f>'Demand calc &gt;&gt;&gt;'!$F31*'Assumptions data'!$E32*'National data'!$E33*'National data'!$F33*$D32</f>
        <v>319819603.97920603</v>
      </c>
      <c r="M32" s="313">
        <f>'Demand calc &gt;&gt;&gt;'!$F31*'Assumptions data'!$G32*'National data'!$H33*'National data'!$I33*$F32</f>
        <v>434347929.68712914</v>
      </c>
      <c r="N32" s="313">
        <f>'Demand calc &gt;&gt;&gt;'!$F31*'Assumptions data'!$I32*'National data'!$K33*'National data'!$L33*$H32</f>
        <v>267536697.15792501</v>
      </c>
      <c r="O32" s="197">
        <f>'Demand calc &gt;&gt;&gt;'!$F31*'Assumptions data'!$J32*'National data'!$N33*'National data'!$O33*$J32</f>
        <v>323818777.30513376</v>
      </c>
      <c r="P32" s="313">
        <f>'Demand calc &gt;&gt;&gt;'!$G31*'Assumptions data'!$E32*'National data'!$E33*'National data'!$F33*$D32</f>
        <v>324965017.41678029</v>
      </c>
      <c r="Q32" s="313">
        <f>'Demand calc &gt;&gt;&gt;'!$G31*'Assumptions data'!$G32*'National data'!$H33*'National data'!$I33*$F32</f>
        <v>441335930.56696278</v>
      </c>
      <c r="R32" s="313">
        <f>'Demand calc &gt;&gt;&gt;'!$G31*'Assumptions data'!$I32*'National data'!$K33*'National data'!$L33*$H32</f>
        <v>271840957.74568474</v>
      </c>
      <c r="S32" s="197">
        <f>'Demand calc &gt;&gt;&gt;'!$G31*'Assumptions data'!$J32*'National data'!$N33*'National data'!$O33*$J32</f>
        <v>329028531.38948005</v>
      </c>
      <c r="T32" s="313">
        <f>'Demand calc &gt;&gt;&gt;'!$H31*'Assumptions data'!$E32*'National data'!$E33*'National data'!$F33*$D32</f>
        <v>721509299.90521216</v>
      </c>
      <c r="U32" s="313">
        <f>'Demand calc &gt;&gt;&gt;'!$H31*'Assumptions data'!$G32*'National data'!$H33*'National data'!$I33*$F32</f>
        <v>979883868.17030299</v>
      </c>
      <c r="V32" s="313">
        <f>'Demand calc &gt;&gt;&gt;'!$H31*'Assumptions data'!$I32*'National data'!$K33*'National data'!$L33*$H32</f>
        <v>603559671.33871388</v>
      </c>
      <c r="W32" s="197">
        <f>'Demand calc &gt;&gt;&gt;'!$H31*'Assumptions data'!$J32*'National data'!$N33*'National data'!$O33*$J32</f>
        <v>730531388.32846367</v>
      </c>
      <c r="X32" s="313">
        <f>'Demand calc &gt;&gt;&gt;'!$I31*'Assumptions data'!$E32*'National data'!$E33*'National data'!$F33*$D32</f>
        <v>5584505.2092900025</v>
      </c>
      <c r="Y32" s="313">
        <f>'Demand calc &gt;&gt;&gt;'!$I31*'Assumptions data'!$G32*'National data'!$H33*'National data'!$I33*$F32</f>
        <v>7584332.6856843</v>
      </c>
      <c r="Z32" s="313">
        <f>'Demand calc &gt;&gt;&gt;'!$I31*'Assumptions data'!$I32*'National data'!$K33*'National data'!$L33*$H32</f>
        <v>4671571.2869552998</v>
      </c>
      <c r="AA32" s="197">
        <f>'Demand calc &gt;&gt;&gt;'!$I31*'Assumptions data'!$J32*'National data'!$N33*'National data'!$O33*$J32</f>
        <v>5654336.4641399989</v>
      </c>
      <c r="AB32" s="313">
        <f>'Demand calc &gt;&gt;&gt;'!$J31*'Assumptions data'!$E32*'National data'!$E33*'National data'!$F33*D32</f>
        <v>180370283.22909105</v>
      </c>
      <c r="AC32" s="313">
        <f>'Demand calc &gt;&gt;&gt;'!J31*'Assumptions data'!$G32*'National data'!$H33*'National data'!$I33*$F32</f>
        <v>244961403.62530914</v>
      </c>
      <c r="AD32" s="313">
        <f>'Demand calc &gt;&gt;&gt;'!J31*'Assumptions data'!$I32*'National data'!$K33*'National data'!$L33*$H32</f>
        <v>150884027.24583438</v>
      </c>
      <c r="AE32" s="197">
        <f>'Demand calc &gt;&gt;&gt;'!J31*'Assumptions data'!$J32*'National data'!$N33*'National data'!$O33*$J32</f>
        <v>182625717.28161618</v>
      </c>
      <c r="AF32" s="313">
        <f>'Demand calc &gt;&gt;&gt;'!$K31*'Assumptions data'!$E32*'National data'!$E33*'National data'!$F33*D32</f>
        <v>163634038.31914219</v>
      </c>
      <c r="AG32" s="313">
        <f>'Demand calc &gt;&gt;&gt;'!$K31*'Assumptions data'!$G32*'National data'!$H33*'National data'!$I33*$F32</f>
        <v>222231860.98024455</v>
      </c>
      <c r="AH32" s="313">
        <f>'Demand calc &gt;&gt;&gt;'!K31*'Assumptions data'!$I32*'National data'!$K33*'National data'!$L33*$H32</f>
        <v>136883760.75083563</v>
      </c>
      <c r="AI32" s="197">
        <f>'Demand calc &gt;&gt;&gt;'!K31*'Assumptions data'!$J32*'National data'!$N33*'National data'!$O33*$J32</f>
        <v>165680194.56822035</v>
      </c>
      <c r="AJ32" s="313">
        <f>'Demand calc &gt;&gt;&gt;'!L31*'Assumptions data'!$E32*'National data'!$E33*'National data'!$F33*D32</f>
        <v>30473911.909667935</v>
      </c>
      <c r="AK32" s="313">
        <f>'Demand calc &gt;&gt;&gt;'!L31*'Assumptions data'!$G32*'National data'!$H33*'National data'!$I33*$F32</f>
        <v>41386707.952689506</v>
      </c>
      <c r="AL32" s="313">
        <f>'Demand calc &gt;&gt;&gt;'!L31*'Assumptions data'!$I32*'National data'!$K33*'National data'!$L33*$H32</f>
        <v>25492151.326421496</v>
      </c>
      <c r="AM32" s="197">
        <f>'Demand calc &gt;&gt;&gt;'!L31*'Assumptions data'!$J32*'National data'!$N33*'National data'!$O33*$J32</f>
        <v>30854971.901392948</v>
      </c>
      <c r="AN32" s="313">
        <f>'Demand calc &gt;&gt;&gt;'!M31*'Assumptions data'!$E32*'National data'!$E33*'National data'!$F33*D32</f>
        <v>52726985.90436545</v>
      </c>
      <c r="AO32" s="313">
        <f>'Demand calc &gt;&gt;&gt;'!M31*'Assumptions data'!$G32*'National data'!$H33*'National data'!$I33*$F32</f>
        <v>71608672.142851517</v>
      </c>
      <c r="AP32" s="313">
        <f>'Demand calc &gt;&gt;&gt;'!M31*'Assumptions data'!$I32*'National data'!$K33*'National data'!$L33*$H32</f>
        <v>44107376.422314517</v>
      </c>
      <c r="AQ32" s="197">
        <f>'Demand calc &gt;&gt;&gt;'!M31*'Assumptions data'!$J32*'National data'!$N33*'National data'!$O33*$J32</f>
        <v>53386308.700597204</v>
      </c>
      <c r="AR32" s="313">
        <f>'Demand calc &gt;&gt;&gt;'!N31*'Assumptions data'!$E32*'National data'!$E33*'National data'!$F33*D32</f>
        <v>686390.25066224672</v>
      </c>
      <c r="AS32" s="313">
        <f>'Demand calc &gt;&gt;&gt;'!N31*'Assumptions data'!$G32*'National data'!$H33*'National data'!$I33*$F32</f>
        <v>932188.58576274279</v>
      </c>
      <c r="AT32" s="313">
        <f>'Demand calc &gt;&gt;&gt;'!N31*'Assumptions data'!$I32*'National data'!$K33*'National data'!$L33*$H32</f>
        <v>574181.7522715627</v>
      </c>
      <c r="AU32" s="197">
        <f>'Demand calc &gt;&gt;&gt;'!N31*'Assumptions data'!$J32*'National data'!$N33*'National data'!$O33*$J32</f>
        <v>694973.19413247809</v>
      </c>
      <c r="AV32" s="313">
        <f>'Demand calc &gt;&gt;&gt;'!O31*'Assumptions data'!$E32*'National data'!$E33*'National data'!$F33*D32</f>
        <v>260610243.10020018</v>
      </c>
      <c r="AW32" s="313">
        <f>'Demand calc &gt;&gt;&gt;'!O31*'Assumptions data'!$G32*'National data'!$H33*'National data'!$I33*$F32</f>
        <v>353935525.33193398</v>
      </c>
      <c r="AX32" s="313">
        <f>'Demand calc &gt;&gt;&gt;'!O31*'Assumptions data'!$I32*'National data'!$K33*'National data'!$L33*$H32</f>
        <v>218006660.05791405</v>
      </c>
      <c r="AY32" s="197">
        <f>'Demand calc &gt;&gt;&gt;'!O31*'Assumptions data'!$J32*'National data'!$N33*'National data'!$O33*$J32</f>
        <v>263869034.99319994</v>
      </c>
    </row>
    <row r="33" spans="1:51">
      <c r="A33" s="9">
        <v>31</v>
      </c>
      <c r="B33" s="1" t="s">
        <v>464</v>
      </c>
      <c r="C33" s="1" t="s">
        <v>465</v>
      </c>
      <c r="D33" s="301">
        <f t="shared" si="0"/>
        <v>8.7468750000000046</v>
      </c>
      <c r="E33" s="313">
        <f>'Demand calc &gt;&gt;&gt;'!$E32*'Assumptions data'!$E33*'National data'!$E34*'National data'!$F34*D33</f>
        <v>268152886.62230363</v>
      </c>
      <c r="F33" s="301">
        <f t="shared" si="1"/>
        <v>97.47</v>
      </c>
      <c r="G33" s="313">
        <f>'Demand calc &gt;&gt;&gt;'!E32*'Assumptions data'!$G33*'National data'!$H34*'National data'!$I34*$F33</f>
        <v>364179211.3268885</v>
      </c>
      <c r="H33" s="301">
        <f t="shared" si="3"/>
        <v>45.027500000000003</v>
      </c>
      <c r="I33" s="313">
        <f>'Demand calc &gt;&gt;&gt;'!E32*'Assumptions data'!$I33*'National data'!$K34*'National data'!$L34*$H33</f>
        <v>224316260.56593785</v>
      </c>
      <c r="J33" s="323">
        <f t="shared" si="2"/>
        <v>31.142857142857142</v>
      </c>
      <c r="K33" s="197">
        <f>'Demand calc &gt;&gt;&gt;'!E32*'Assumptions data'!$J33*'National data'!$N34*'National data'!$O34*J33</f>
        <v>271505995.24387562</v>
      </c>
      <c r="L33" s="313">
        <f>'Demand calc &gt;&gt;&gt;'!$F32*'Assumptions data'!$E33*'National data'!$E34*'National data'!$F34*$D33</f>
        <v>84589946.773564041</v>
      </c>
      <c r="M33" s="313">
        <f>'Demand calc &gt;&gt;&gt;'!$F32*'Assumptions data'!$G33*'National data'!$H34*'National data'!$I34*$F33</f>
        <v>114881851.50723542</v>
      </c>
      <c r="N33" s="313">
        <f>'Demand calc &gt;&gt;&gt;'!$F32*'Assumptions data'!$I33*'National data'!$K34*'National data'!$L34*$H33</f>
        <v>70761500.205082506</v>
      </c>
      <c r="O33" s="197">
        <f>'Demand calc &gt;&gt;&gt;'!$F32*'Assumptions data'!$J33*'National data'!$N34*'National data'!$O34*$J33</f>
        <v>85647698.876841858</v>
      </c>
      <c r="P33" s="313">
        <f>'Demand calc &gt;&gt;&gt;'!$G32*'Assumptions data'!$E33*'National data'!$E34*'National data'!$F34*$D33</f>
        <v>30225511.459699485</v>
      </c>
      <c r="Q33" s="313">
        <f>'Demand calc &gt;&gt;&gt;'!$G32*'Assumptions data'!$G33*'National data'!$H34*'National data'!$I34*$F33</f>
        <v>41049354.582743615</v>
      </c>
      <c r="R33" s="313">
        <f>'Demand calc &gt;&gt;&gt;'!$G32*'Assumptions data'!$I33*'National data'!$K34*'National data'!$L34*$H33</f>
        <v>25284358.44840448</v>
      </c>
      <c r="S33" s="197">
        <f>'Demand calc &gt;&gt;&gt;'!$G32*'Assumptions data'!$J33*'National data'!$N34*'National data'!$O34*$J33</f>
        <v>30603465.33647313</v>
      </c>
      <c r="T33" s="313">
        <f>'Demand calc &gt;&gt;&gt;'!$H32*'Assumptions data'!$E33*'National data'!$E34*'National data'!$F34*$D33</f>
        <v>89695858.651310191</v>
      </c>
      <c r="U33" s="313">
        <f>'Demand calc &gt;&gt;&gt;'!$H32*'Assumptions data'!$G33*'National data'!$H34*'National data'!$I34*$F33</f>
        <v>121816205.20435324</v>
      </c>
      <c r="V33" s="313">
        <f>'Demand calc &gt;&gt;&gt;'!$H32*'Assumptions data'!$I33*'National data'!$K34*'National data'!$L34*$H33</f>
        <v>75032716.79954882</v>
      </c>
      <c r="W33" s="197">
        <f>'Demand calc &gt;&gt;&gt;'!$H32*'Assumptions data'!$J33*'National data'!$N34*'National data'!$O34*$J33</f>
        <v>90817457.455453008</v>
      </c>
      <c r="X33" s="313">
        <f>'Demand calc &gt;&gt;&gt;'!$I32*'Assumptions data'!$E33*'National data'!$E34*'National data'!$F34*$D33</f>
        <v>3016784.8585714288</v>
      </c>
      <c r="Y33" s="313">
        <f>'Demand calc &gt;&gt;&gt;'!$I32*'Assumptions data'!$G33*'National data'!$H34*'National data'!$I34*$F33</f>
        <v>4097104.2466714256</v>
      </c>
      <c r="Z33" s="313">
        <f>'Demand calc &gt;&gt;&gt;'!$I32*'Assumptions data'!$I33*'National data'!$K34*'National data'!$L34*$H33</f>
        <v>2523612.2084333324</v>
      </c>
      <c r="AA33" s="197">
        <f>'Demand calc &gt;&gt;&gt;'!$I32*'Assumptions data'!$J33*'National data'!$N34*'National data'!$O34*$J33</f>
        <v>3054508.1419047597</v>
      </c>
      <c r="AB33" s="313">
        <f>'Demand calc &gt;&gt;&gt;'!$J32*'Assumptions data'!$E33*'National data'!$E34*'National data'!$F34*D33</f>
        <v>89535793.750244036</v>
      </c>
      <c r="AC33" s="313">
        <f>'Demand calc &gt;&gt;&gt;'!J32*'Assumptions data'!$G33*'National data'!$H34*'National data'!$I34*$F33</f>
        <v>121598820.59900498</v>
      </c>
      <c r="AD33" s="313">
        <f>'Demand calc &gt;&gt;&gt;'!J32*'Assumptions data'!$I33*'National data'!$K34*'National data'!$L34*$H33</f>
        <v>74898818.706907392</v>
      </c>
      <c r="AE33" s="197">
        <f>'Demand calc &gt;&gt;&gt;'!J32*'Assumptions data'!$J33*'National data'!$N34*'National data'!$O34*$J33</f>
        <v>90655391.02829276</v>
      </c>
      <c r="AF33" s="313">
        <f>'Demand calc &gt;&gt;&gt;'!$K32*'Assumptions data'!$E33*'National data'!$E34*'National data'!$F34*D33</f>
        <v>78638462.004958779</v>
      </c>
      <c r="AG33" s="313">
        <f>'Demand calc &gt;&gt;&gt;'!$K32*'Assumptions data'!$G33*'National data'!$H34*'National data'!$I34*$F33</f>
        <v>106799122.82004637</v>
      </c>
      <c r="AH33" s="313">
        <f>'Demand calc &gt;&gt;&gt;'!K32*'Assumptions data'!$I33*'National data'!$K34*'National data'!$L34*$H33</f>
        <v>65782941.797881588</v>
      </c>
      <c r="AI33" s="197">
        <f>'Demand calc &gt;&gt;&gt;'!K32*'Assumptions data'!$J33*'National data'!$N34*'National data'!$O34*$J33</f>
        <v>79621793.970008239</v>
      </c>
      <c r="AJ33" s="313">
        <f>'Demand calc &gt;&gt;&gt;'!L32*'Assumptions data'!$E33*'National data'!$E34*'National data'!$F34*D33</f>
        <v>21222851.441988889</v>
      </c>
      <c r="AK33" s="313">
        <f>'Demand calc &gt;&gt;&gt;'!L32*'Assumptions data'!$G33*'National data'!$H34*'National data'!$I34*$F33</f>
        <v>28822815.959976982</v>
      </c>
      <c r="AL33" s="313">
        <f>'Demand calc &gt;&gt;&gt;'!L32*'Assumptions data'!$I33*'National data'!$K34*'National data'!$L34*$H33</f>
        <v>17753419.454025015</v>
      </c>
      <c r="AM33" s="197">
        <f>'Demand calc &gt;&gt;&gt;'!L32*'Assumptions data'!$J33*'National data'!$N34*'National data'!$O34*$J33</f>
        <v>21488231.863735788</v>
      </c>
      <c r="AN33" s="313">
        <f>'Demand calc &gt;&gt;&gt;'!M32*'Assumptions data'!$E33*'National data'!$E34*'National data'!$F34*D33</f>
        <v>9958081.2067039665</v>
      </c>
      <c r="AO33" s="313">
        <f>'Demand calc &gt;&gt;&gt;'!M32*'Assumptions data'!$G33*'National data'!$H34*'National data'!$I34*$F33</f>
        <v>13524098.904422997</v>
      </c>
      <c r="AP33" s="313">
        <f>'Demand calc &gt;&gt;&gt;'!M32*'Assumptions data'!$I33*'National data'!$K34*'National data'!$L34*$H33</f>
        <v>8330171.518332568</v>
      </c>
      <c r="AQ33" s="197">
        <f>'Demand calc &gt;&gt;&gt;'!M32*'Assumptions data'!$J33*'National data'!$N34*'National data'!$O34*$J33</f>
        <v>10082601.693390148</v>
      </c>
      <c r="AR33" s="313">
        <f>'Demand calc &gt;&gt;&gt;'!N32*'Assumptions data'!$E33*'National data'!$E34*'National data'!$F34*D33</f>
        <v>738155.74880947964</v>
      </c>
      <c r="AS33" s="313">
        <f>'Demand calc &gt;&gt;&gt;'!N32*'Assumptions data'!$G33*'National data'!$H34*'National data'!$I34*$F33</f>
        <v>1002491.458600192</v>
      </c>
      <c r="AT33" s="313">
        <f>'Demand calc &gt;&gt;&gt;'!N32*'Assumptions data'!$I33*'National data'!$K34*'National data'!$L34*$H33</f>
        <v>617484.82134154311</v>
      </c>
      <c r="AU33" s="197">
        <f>'Demand calc &gt;&gt;&gt;'!N32*'Assumptions data'!$J33*'National data'!$N34*'National data'!$O34*$J33</f>
        <v>747385.99218508892</v>
      </c>
      <c r="AV33" s="313">
        <f>'Demand calc &gt;&gt;&gt;'!O32*'Assumptions data'!$E33*'National data'!$E34*'National data'!$F34*D33</f>
        <v>76917366.417600051</v>
      </c>
      <c r="AW33" s="313">
        <f>'Demand calc &gt;&gt;&gt;'!O32*'Assumptions data'!$G33*'National data'!$H34*'National data'!$I34*$F33</f>
        <v>104461697.92219199</v>
      </c>
      <c r="AX33" s="313">
        <f>'Demand calc &gt;&gt;&gt;'!O32*'Assumptions data'!$I33*'National data'!$K34*'National data'!$L34*$H33</f>
        <v>64343204.448432013</v>
      </c>
      <c r="AY33" s="197">
        <f>'Demand calc &gt;&gt;&gt;'!O32*'Assumptions data'!$J33*'National data'!$N34*'National data'!$O34*$J33</f>
        <v>77879177.001600012</v>
      </c>
    </row>
    <row r="34" spans="1:51">
      <c r="A34" s="9">
        <v>32</v>
      </c>
      <c r="B34" s="1" t="s">
        <v>469</v>
      </c>
      <c r="C34" s="1" t="s">
        <v>470</v>
      </c>
      <c r="D34" s="301">
        <f t="shared" si="0"/>
        <v>8.7468750000000046</v>
      </c>
      <c r="E34" s="313">
        <f>'Demand calc &gt;&gt;&gt;'!$E33*'Assumptions data'!$E34*'National data'!$E35*'National data'!$F35*D34</f>
        <v>2321159652.2181339</v>
      </c>
      <c r="F34" s="301">
        <f t="shared" si="1"/>
        <v>97.47</v>
      </c>
      <c r="G34" s="313">
        <f>'Demand calc &gt;&gt;&gt;'!E33*'Assumptions data'!$G34*'National data'!$H35*'National data'!$I35*$F34</f>
        <v>3152373640.8597188</v>
      </c>
      <c r="H34" s="301">
        <f t="shared" si="3"/>
        <v>45.027500000000003</v>
      </c>
      <c r="I34" s="313">
        <f>'Demand calc &gt;&gt;&gt;'!E33*'Assumptions data'!$I34*'National data'!$K35*'National data'!$L35*$H34</f>
        <v>1941705196.3176503</v>
      </c>
      <c r="J34" s="323">
        <f t="shared" si="2"/>
        <v>31.142857142857142</v>
      </c>
      <c r="K34" s="197">
        <f>'Demand calc &gt;&gt;&gt;'!E33*'Assumptions data'!$J34*'National data'!$N35*'National data'!$O35*J34</f>
        <v>2350184513.8928857</v>
      </c>
      <c r="L34" s="313">
        <f>'Demand calc &gt;&gt;&gt;'!$F33*'Assumptions data'!$E34*'National data'!$E35*'National data'!$F35*$D34</f>
        <v>829958531.77501917</v>
      </c>
      <c r="M34" s="313">
        <f>'Demand calc &gt;&gt;&gt;'!$F33*'Assumptions data'!$G34*'National data'!$H35*'National data'!$I35*$F34</f>
        <v>1127169083.8129089</v>
      </c>
      <c r="N34" s="313">
        <f>'Demand calc &gt;&gt;&gt;'!$F33*'Assumptions data'!$I34*'National data'!$K35*'National data'!$L35*$H34</f>
        <v>694280030.38727486</v>
      </c>
      <c r="O34" s="197">
        <f>'Demand calc &gt;&gt;&gt;'!$F33*'Assumptions data'!$J34*'National data'!$N35*'National data'!$O35*$J34</f>
        <v>840336719.91797161</v>
      </c>
      <c r="P34" s="313">
        <f>'Demand calc &gt;&gt;&gt;'!$G33*'Assumptions data'!$E34*'National data'!$E35*'National data'!$F35*$D34</f>
        <v>370482703.32522792</v>
      </c>
      <c r="Q34" s="313">
        <f>'Demand calc &gt;&gt;&gt;'!$G33*'Assumptions data'!$G34*'National data'!$H35*'National data'!$I35*$F34</f>
        <v>503153631.52243227</v>
      </c>
      <c r="R34" s="313">
        <f>'Demand calc &gt;&gt;&gt;'!$G33*'Assumptions data'!$I34*'National data'!$K35*'National data'!$L35*$H34</f>
        <v>309917583.43936688</v>
      </c>
      <c r="S34" s="197">
        <f>'Demand calc &gt;&gt;&gt;'!$G33*'Assumptions data'!$J34*'National data'!$N35*'National data'!$O35*$J34</f>
        <v>375115391.64833695</v>
      </c>
      <c r="T34" s="313">
        <f>'Demand calc &gt;&gt;&gt;'!$H33*'Assumptions data'!$E34*'National data'!$E35*'National data'!$F35*$D34</f>
        <v>1230892869.1947813</v>
      </c>
      <c r="U34" s="313">
        <f>'Demand calc &gt;&gt;&gt;'!$H33*'Assumptions data'!$G34*'National data'!$H35*'National data'!$I35*$F34</f>
        <v>1671679167.7228281</v>
      </c>
      <c r="V34" s="313">
        <f>'Demand calc &gt;&gt;&gt;'!$H33*'Assumptions data'!$I34*'National data'!$K35*'National data'!$L35*$H34</f>
        <v>1029671129.2314169</v>
      </c>
      <c r="W34" s="197">
        <f>'Demand calc &gt;&gt;&gt;'!$H33*'Assumptions data'!$J34*'National data'!$N35*'National data'!$O35*$J34</f>
        <v>1246284527.080389</v>
      </c>
      <c r="X34" s="313">
        <f>'Demand calc &gt;&gt;&gt;'!$I33*'Assumptions data'!$E34*'National data'!$E35*'National data'!$F35*$D34</f>
        <v>14154872.365963636</v>
      </c>
      <c r="Y34" s="313">
        <f>'Demand calc &gt;&gt;&gt;'!$I33*'Assumptions data'!$G34*'National data'!$H35*'National data'!$I35*$F34</f>
        <v>19223773.122868355</v>
      </c>
      <c r="Z34" s="313">
        <f>'Demand calc &gt;&gt;&gt;'!$I33*'Assumptions data'!$I34*'National data'!$K35*'National data'!$L35*$H34</f>
        <v>11840887.032453815</v>
      </c>
      <c r="AA34" s="197">
        <f>'Demand calc &gt;&gt;&gt;'!$I33*'Assumptions data'!$J34*'National data'!$N35*'National data'!$O35*$J34</f>
        <v>14331871.484509083</v>
      </c>
      <c r="AB34" s="313">
        <f>'Demand calc &gt;&gt;&gt;'!$J33*'Assumptions data'!$E34*'National data'!$E35*'National data'!$F35*D34</f>
        <v>643079034.61339474</v>
      </c>
      <c r="AC34" s="313">
        <f>'Demand calc &gt;&gt;&gt;'!J33*'Assumptions data'!$G34*'National data'!$H35*'National data'!$I35*$F34</f>
        <v>873367497.90887272</v>
      </c>
      <c r="AD34" s="313">
        <f>'Demand calc &gt;&gt;&gt;'!J33*'Assumptions data'!$I34*'National data'!$K35*'National data'!$L35*$H34</f>
        <v>537950891.03781366</v>
      </c>
      <c r="AE34" s="197">
        <f>'Demand calc &gt;&gt;&gt;'!J33*'Assumptions data'!$J34*'National data'!$N35*'National data'!$O35*$J34</f>
        <v>651120394.46029282</v>
      </c>
      <c r="AF34" s="313">
        <f>'Demand calc &gt;&gt;&gt;'!$K33*'Assumptions data'!$E34*'National data'!$E35*'National data'!$F35*D34</f>
        <v>616855114.93868387</v>
      </c>
      <c r="AG34" s="313">
        <f>'Demand calc &gt;&gt;&gt;'!$K33*'Assumptions data'!$G34*'National data'!$H35*'National data'!$I35*$F34</f>
        <v>837752716.70949113</v>
      </c>
      <c r="AH34" s="313">
        <f>'Demand calc &gt;&gt;&gt;'!K33*'Assumptions data'!$I34*'National data'!$K35*'National data'!$L35*$H34</f>
        <v>516013959.18931115</v>
      </c>
      <c r="AI34" s="197">
        <f>'Demand calc &gt;&gt;&gt;'!K33*'Assumptions data'!$J34*'National data'!$N35*'National data'!$O35*$J34</f>
        <v>624568558.67675197</v>
      </c>
      <c r="AJ34" s="313">
        <f>'Demand calc &gt;&gt;&gt;'!L33*'Assumptions data'!$E34*'National data'!$E35*'National data'!$F35*D34</f>
        <v>102918744.73253328</v>
      </c>
      <c r="AK34" s="313">
        <f>'Demand calc &gt;&gt;&gt;'!L33*'Assumptions data'!$G34*'National data'!$H35*'National data'!$I35*$F34</f>
        <v>139774245.05684906</v>
      </c>
      <c r="AL34" s="313">
        <f>'Demand calc &gt;&gt;&gt;'!L33*'Assumptions data'!$I34*'National data'!$K35*'National data'!$L35*$H34</f>
        <v>86093975.162234828</v>
      </c>
      <c r="AM34" s="197">
        <f>'Demand calc &gt;&gt;&gt;'!L33*'Assumptions data'!$J34*'National data'!$N35*'National data'!$O35*$J34</f>
        <v>104205688.66452274</v>
      </c>
      <c r="AN34" s="313">
        <f>'Demand calc &gt;&gt;&gt;'!M33*'Assumptions data'!$E34*'National data'!$E35*'National data'!$F35*D34</f>
        <v>138822584.42961925</v>
      </c>
      <c r="AO34" s="313">
        <f>'Demand calc &gt;&gt;&gt;'!M33*'Assumptions data'!$G34*'National data'!$H35*'National data'!$I35*$F34</f>
        <v>188535353.65124837</v>
      </c>
      <c r="AP34" s="313">
        <f>'Demand calc &gt;&gt;&gt;'!M33*'Assumptions data'!$I34*'National data'!$K35*'National data'!$L35*$H34</f>
        <v>116128390.08969033</v>
      </c>
      <c r="AQ34" s="197">
        <f>'Demand calc &gt;&gt;&gt;'!M33*'Assumptions data'!$J34*'National data'!$N35*'National data'!$O35*$J34</f>
        <v>140558486.700086</v>
      </c>
      <c r="AR34" s="313">
        <f>'Demand calc &gt;&gt;&gt;'!N33*'Assumptions data'!$E34*'National data'!$E35*'National data'!$F35*D34</f>
        <v>2068730.3532037551</v>
      </c>
      <c r="AS34" s="313">
        <f>'Demand calc &gt;&gt;&gt;'!N33*'Assumptions data'!$G34*'National data'!$H35*'National data'!$I35*$F34</f>
        <v>2809548.6793654971</v>
      </c>
      <c r="AT34" s="313">
        <f>'Demand calc &gt;&gt;&gt;'!N33*'Assumptions data'!$I34*'National data'!$K35*'National data'!$L35*$H34</f>
        <v>1730542.0903543644</v>
      </c>
      <c r="AU34" s="197">
        <f>'Demand calc &gt;&gt;&gt;'!N33*'Assumptions data'!$J34*'National data'!$N35*'National data'!$O35*$J34</f>
        <v>2094598.7213217001</v>
      </c>
      <c r="AV34" s="313">
        <f>'Demand calc &gt;&gt;&gt;'!O33*'Assumptions data'!$E34*'National data'!$E35*'National data'!$F35*D34</f>
        <v>683983653.96960056</v>
      </c>
      <c r="AW34" s="313">
        <f>'Demand calc &gt;&gt;&gt;'!O33*'Assumptions data'!$G34*'National data'!$H35*'National data'!$I35*$F34</f>
        <v>928920179.83003211</v>
      </c>
      <c r="AX34" s="313">
        <f>'Demand calc &gt;&gt;&gt;'!O33*'Assumptions data'!$I34*'National data'!$K35*'National data'!$L35*$H34</f>
        <v>572168576.96107221</v>
      </c>
      <c r="AY34" s="197">
        <f>'Demand calc &gt;&gt;&gt;'!O33*'Assumptions data'!$J34*'National data'!$N35*'National data'!$O35*$J34</f>
        <v>692536504.23360002</v>
      </c>
    </row>
    <row r="35" spans="1:51">
      <c r="A35" s="9">
        <v>33</v>
      </c>
      <c r="B35" s="1" t="s">
        <v>474</v>
      </c>
      <c r="C35" s="1" t="s">
        <v>475</v>
      </c>
      <c r="D35" s="301">
        <f t="shared" ref="D35:D52" si="4">$D$2</f>
        <v>8.7468750000000046</v>
      </c>
      <c r="E35" s="313">
        <f>'Demand calc &gt;&gt;&gt;'!$E34*'Assumptions data'!$E35*'National data'!$E36*'National data'!$F36*D35</f>
        <v>1402642466.4787662</v>
      </c>
      <c r="F35" s="301">
        <f t="shared" ref="F35:F52" si="5">$F$2</f>
        <v>97.47</v>
      </c>
      <c r="G35" s="313">
        <f>'Demand calc &gt;&gt;&gt;'!E34*'Assumptions data'!$G35*'National data'!$H36*'National data'!$I36*$F35</f>
        <v>1904932792.8187656</v>
      </c>
      <c r="H35" s="301">
        <f t="shared" si="3"/>
        <v>45.027500000000003</v>
      </c>
      <c r="I35" s="313">
        <f>'Demand calc &gt;&gt;&gt;'!E34*'Assumptions data'!$I35*'National data'!$K36*'National data'!$L36*$H35</f>
        <v>1173343747.8697307</v>
      </c>
      <c r="J35" s="323">
        <f t="shared" ref="J35:J52" si="6">$J$2</f>
        <v>31.142857142857142</v>
      </c>
      <c r="K35" s="197">
        <f>'Demand calc &gt;&gt;&gt;'!E34*'Assumptions data'!$J35*'National data'!$N36*'National data'!$O36*J35</f>
        <v>1420181761.3436303</v>
      </c>
      <c r="L35" s="313">
        <f>'Demand calc &gt;&gt;&gt;'!$F34*'Assumptions data'!$E35*'National data'!$E36*'National data'!$F36*$D35</f>
        <v>368712777.51098919</v>
      </c>
      <c r="M35" s="313">
        <f>'Demand calc &gt;&gt;&gt;'!$F34*'Assumptions data'!$G35*'National data'!$H36*'National data'!$I36*$F35</f>
        <v>500749890.15214288</v>
      </c>
      <c r="N35" s="313">
        <f>'Demand calc &gt;&gt;&gt;'!$F34*'Assumptions data'!$I35*'National data'!$K36*'National data'!$L36*$H35</f>
        <v>308436998.44499999</v>
      </c>
      <c r="O35" s="197">
        <f>'Demand calc &gt;&gt;&gt;'!$F34*'Assumptions data'!$J35*'National data'!$N36*'National data'!$O36*$J35</f>
        <v>373323333.85714281</v>
      </c>
      <c r="P35" s="313">
        <f>'Demand calc &gt;&gt;&gt;'!$G34*'Assumptions data'!$E35*'National data'!$E36*'National data'!$F36*$D35</f>
        <v>294749895.21120012</v>
      </c>
      <c r="Q35" s="313">
        <f>'Demand calc &gt;&gt;&gt;'!$G34*'Assumptions data'!$G35*'National data'!$H36*'National data'!$I36*$F35</f>
        <v>400300685.66030401</v>
      </c>
      <c r="R35" s="313">
        <f>'Demand calc &gt;&gt;&gt;'!$G34*'Assumptions data'!$I35*'National data'!$K36*'National data'!$L36*$H35</f>
        <v>246565290.15518397</v>
      </c>
      <c r="S35" s="197">
        <f>'Demand calc &gt;&gt;&gt;'!$G34*'Assumptions data'!$J35*'National data'!$N36*'National data'!$O36*$J35</f>
        <v>298435585.21920002</v>
      </c>
      <c r="T35" s="313">
        <f>'Demand calc &gt;&gt;&gt;'!$H34*'Assumptions data'!$E35*'National data'!$E36*'National data'!$F36*$D35</f>
        <v>756009236.07356286</v>
      </c>
      <c r="U35" s="313">
        <f>'Demand calc &gt;&gt;&gt;'!$H34*'Assumptions data'!$G35*'National data'!$H36*'National data'!$I36*$F35</f>
        <v>1026738331.3195838</v>
      </c>
      <c r="V35" s="313">
        <f>'Demand calc &gt;&gt;&gt;'!$H34*'Assumptions data'!$I35*'National data'!$K36*'National data'!$L36*$H35</f>
        <v>632419687.60976112</v>
      </c>
      <c r="W35" s="197">
        <f>'Demand calc &gt;&gt;&gt;'!$H34*'Assumptions data'!$J35*'National data'!$N36*'National data'!$O36*$J35</f>
        <v>765462727.77151692</v>
      </c>
      <c r="X35" s="313">
        <f>'Demand calc &gt;&gt;&gt;'!$I34*'Assumptions data'!$E35*'National data'!$E36*'National data'!$F36*$D35</f>
        <v>42401583.327085711</v>
      </c>
      <c r="Y35" s="313">
        <f>'Demand calc &gt;&gt;&gt;'!$I34*'Assumptions data'!$G35*'National data'!$H36*'National data'!$I36*$F35</f>
        <v>57585713.022061668</v>
      </c>
      <c r="Z35" s="313">
        <f>'Demand calc &gt;&gt;&gt;'!$I34*'Assumptions data'!$I35*'National data'!$K36*'National data'!$L36*$H35</f>
        <v>35469931.850495979</v>
      </c>
      <c r="AA35" s="197">
        <f>'Demand calc &gt;&gt;&gt;'!$I34*'Assumptions data'!$J35*'National data'!$N36*'National data'!$O36*$J35</f>
        <v>42931792.479085669</v>
      </c>
      <c r="AB35" s="313">
        <f>'Demand calc &gt;&gt;&gt;'!$J34*'Assumptions data'!$E35*'National data'!$E36*'National data'!$F36*D35</f>
        <v>418799337.72352964</v>
      </c>
      <c r="AC35" s="313">
        <f>'Demand calc &gt;&gt;&gt;'!J34*'Assumptions data'!$G35*'National data'!$H36*'National data'!$I36*$F35</f>
        <v>568772592.52182353</v>
      </c>
      <c r="AD35" s="313">
        <f>'Demand calc &gt;&gt;&gt;'!J34*'Assumptions data'!$I35*'National data'!$K36*'National data'!$L36*$H35</f>
        <v>350335596.04358828</v>
      </c>
      <c r="AE35" s="197">
        <f>'Demand calc &gt;&gt;&gt;'!J34*'Assumptions data'!$J35*'National data'!$N36*'National data'!$O36*$J35</f>
        <v>424036199.75294113</v>
      </c>
      <c r="AF35" s="313">
        <f>'Demand calc &gt;&gt;&gt;'!$K34*'Assumptions data'!$E35*'National data'!$E36*'National data'!$F36*D35</f>
        <v>310728964.77618492</v>
      </c>
      <c r="AG35" s="313">
        <f>'Demand calc &gt;&gt;&gt;'!$K34*'Assumptions data'!$G35*'National data'!$H36*'National data'!$I36*$F35</f>
        <v>422001906.27819008</v>
      </c>
      <c r="AH35" s="313">
        <f>'Demand calc &gt;&gt;&gt;'!K34*'Assumptions data'!$I35*'National data'!$K36*'National data'!$L36*$H35</f>
        <v>259932161.48478106</v>
      </c>
      <c r="AI35" s="197">
        <f>'Demand calc &gt;&gt;&gt;'!K34*'Assumptions data'!$J35*'National data'!$N36*'National data'!$O36*$J35</f>
        <v>314614464.51436484</v>
      </c>
      <c r="AJ35" s="313">
        <f>'Demand calc &gt;&gt;&gt;'!L34*'Assumptions data'!$E35*'National data'!$E36*'National data'!$F36*D35</f>
        <v>84655938.934285805</v>
      </c>
      <c r="AK35" s="313">
        <f>'Demand calc &gt;&gt;&gt;'!L34*'Assumptions data'!$G35*'National data'!$H36*'National data'!$I36*$F35</f>
        <v>114971475.65168579</v>
      </c>
      <c r="AL35" s="313">
        <f>'Demand calc &gt;&gt;&gt;'!L34*'Assumptions data'!$I35*'National data'!$K36*'National data'!$L36*$H35</f>
        <v>70816704.215400055</v>
      </c>
      <c r="AM35" s="197">
        <f>'Demand calc &gt;&gt;&gt;'!L34*'Assumptions data'!$J35*'National data'!$N36*'National data'!$O36*$J35</f>
        <v>85714516.234285757</v>
      </c>
      <c r="AN35" s="313">
        <f>'Demand calc &gt;&gt;&gt;'!M34*'Assumptions data'!$E35*'National data'!$E36*'National data'!$F36*D35</f>
        <v>110105259.92944412</v>
      </c>
      <c r="AO35" s="313">
        <f>'Demand calc &gt;&gt;&gt;'!M34*'Assumptions data'!$G35*'National data'!$H36*'National data'!$I36*$F35</f>
        <v>149534272.14276299</v>
      </c>
      <c r="AP35" s="313">
        <f>'Demand calc &gt;&gt;&gt;'!M34*'Assumptions data'!$I35*'National data'!$K36*'National data'!$L36*$H35</f>
        <v>92105665.865165487</v>
      </c>
      <c r="AQ35" s="197">
        <f>'Demand calc &gt;&gt;&gt;'!M34*'Assumptions data'!$J35*'National data'!$N36*'National data'!$O36*$J35</f>
        <v>111482067.39551426</v>
      </c>
      <c r="AR35" s="313">
        <f>'Demand calc &gt;&gt;&gt;'!N34*'Assumptions data'!$E35*'National data'!$E36*'National data'!$F36*D35</f>
        <v>6823949.9265007321</v>
      </c>
      <c r="AS35" s="313">
        <f>'Demand calc &gt;&gt;&gt;'!N34*'Assumptions data'!$G35*'National data'!$H36*'National data'!$I36*$F35</f>
        <v>9267626.1429456994</v>
      </c>
      <c r="AT35" s="313">
        <f>'Demand calc &gt;&gt;&gt;'!N34*'Assumptions data'!$I35*'National data'!$K36*'National data'!$L36*$H35</f>
        <v>5708396.240231012</v>
      </c>
      <c r="AU35" s="197">
        <f>'Demand calc &gt;&gt;&gt;'!N34*'Assumptions data'!$J35*'National data'!$N36*'National data'!$O36*$J35</f>
        <v>6909279.7755280687</v>
      </c>
      <c r="AV35" s="313">
        <f>'Demand calc &gt;&gt;&gt;'!O34*'Assumptions data'!$E35*'National data'!$E36*'National data'!$F36*D35</f>
        <v>337004250.81840014</v>
      </c>
      <c r="AW35" s="313">
        <f>'Demand calc &gt;&gt;&gt;'!O34*'Assumptions data'!$G35*'National data'!$H36*'National data'!$I36*$F35</f>
        <v>457686448.28992796</v>
      </c>
      <c r="AX35" s="313">
        <f>'Demand calc &gt;&gt;&gt;'!O34*'Assumptions data'!$I35*'National data'!$K36*'National data'!$L36*$H35</f>
        <v>281912062.52008802</v>
      </c>
      <c r="AY35" s="197">
        <f>'Demand calc &gt;&gt;&gt;'!O34*'Assumptions data'!$J35*'National data'!$N36*'National data'!$O36*$J35</f>
        <v>341218308.97439998</v>
      </c>
    </row>
    <row r="36" spans="1:51">
      <c r="A36" s="9">
        <v>34</v>
      </c>
      <c r="B36" s="1" t="s">
        <v>479</v>
      </c>
      <c r="C36" s="1" t="s">
        <v>480</v>
      </c>
      <c r="D36" s="301">
        <f t="shared" si="4"/>
        <v>8.7468750000000046</v>
      </c>
      <c r="E36" s="313">
        <f>'Demand calc &gt;&gt;&gt;'!$E35*'Assumptions data'!$E36*'National data'!$E37*'National data'!$F37*D36</f>
        <v>109679398.44372672</v>
      </c>
      <c r="F36" s="301">
        <f t="shared" si="5"/>
        <v>97.47</v>
      </c>
      <c r="G36" s="313">
        <f>'Demand calc &gt;&gt;&gt;'!E35*'Assumptions data'!$G36*'National data'!$H37*'National data'!$I37*$F36</f>
        <v>148955908.42661354</v>
      </c>
      <c r="H36" s="301">
        <f t="shared" si="3"/>
        <v>45.027500000000003</v>
      </c>
      <c r="I36" s="313">
        <f>'Demand calc &gt;&gt;&gt;'!E35*'Assumptions data'!$I36*'National data'!$K37*'National data'!$L37*$H36</f>
        <v>91749422.614539087</v>
      </c>
      <c r="J36" s="323">
        <f t="shared" si="6"/>
        <v>31.142857142857142</v>
      </c>
      <c r="K36" s="197">
        <f>'Demand calc &gt;&gt;&gt;'!E35*'Assumptions data'!$J36*'National data'!$N37*'National data'!$O37*J36</f>
        <v>111050880.73937881</v>
      </c>
      <c r="L36" s="313">
        <f>'Demand calc &gt;&gt;&gt;'!$F35*'Assumptions data'!$E36*'National data'!$E37*'National data'!$F37*$D36</f>
        <v>12878392.26712695</v>
      </c>
      <c r="M36" s="313">
        <f>'Demand calc &gt;&gt;&gt;'!$F35*'Assumptions data'!$G36*'National data'!$H37*'National data'!$I37*$F36</f>
        <v>17490181.806644391</v>
      </c>
      <c r="N36" s="313">
        <f>'Demand calc &gt;&gt;&gt;'!$F35*'Assumptions data'!$I36*'National data'!$K37*'National data'!$L37*$H36</f>
        <v>10773081.102543423</v>
      </c>
      <c r="O36" s="197">
        <f>'Demand calc &gt;&gt;&gt;'!$F35*'Assumptions data'!$J36*'National data'!$N37*'National data'!$O37*$J36</f>
        <v>13039429.683829136</v>
      </c>
      <c r="P36" s="313">
        <f>'Demand calc &gt;&gt;&gt;'!$G35*'Assumptions data'!$E36*'National data'!$E37*'National data'!$F37*$D36</f>
        <v>13764809.439941272</v>
      </c>
      <c r="Q36" s="313">
        <f>'Demand calc &gt;&gt;&gt;'!$G35*'Assumptions data'!$G36*'National data'!$H37*'National data'!$I37*$F36</f>
        <v>18694027.534237914</v>
      </c>
      <c r="R36" s="313">
        <f>'Demand calc &gt;&gt;&gt;'!$G35*'Assumptions data'!$I36*'National data'!$K37*'National data'!$L37*$H36</f>
        <v>11514590.12753186</v>
      </c>
      <c r="S36" s="197">
        <f>'Demand calc &gt;&gt;&gt;'!$G35*'Assumptions data'!$J36*'National data'!$N37*'National data'!$O37*$J36</f>
        <v>13936931.029936956</v>
      </c>
      <c r="T36" s="313">
        <f>'Demand calc &gt;&gt;&gt;'!$H35*'Assumptions data'!$E36*'National data'!$E37*'National data'!$F37*$D36</f>
        <v>62640144.645107962</v>
      </c>
      <c r="U36" s="313">
        <f>'Demand calc &gt;&gt;&gt;'!$H35*'Assumptions data'!$G36*'National data'!$H37*'National data'!$I37*$F36</f>
        <v>85071761.716251552</v>
      </c>
      <c r="V36" s="313">
        <f>'Demand calc &gt;&gt;&gt;'!$H35*'Assumptions data'!$I36*'National data'!$K37*'National data'!$L37*$H36</f>
        <v>52399969.230580591</v>
      </c>
      <c r="W36" s="197">
        <f>'Demand calc &gt;&gt;&gt;'!$H35*'Assumptions data'!$J36*'National data'!$N37*'National data'!$O37*$J36</f>
        <v>63423426.196583003</v>
      </c>
      <c r="X36" s="313">
        <f>'Demand calc &gt;&gt;&gt;'!$I35*'Assumptions data'!$E36*'National data'!$E37*'National data'!$F37*$D36</f>
        <v>3451889.0220428589</v>
      </c>
      <c r="Y36" s="313">
        <f>'Demand calc &gt;&gt;&gt;'!$I35*'Assumptions data'!$G36*'National data'!$H37*'National data'!$I37*$F36</f>
        <v>4688020.4702258566</v>
      </c>
      <c r="Z36" s="313">
        <f>'Demand calc &gt;&gt;&gt;'!$I35*'Assumptions data'!$I36*'National data'!$K37*'National data'!$L37*$H36</f>
        <v>2887587.1785929999</v>
      </c>
      <c r="AA36" s="197">
        <f>'Demand calc &gt;&gt;&gt;'!$I35*'Assumptions data'!$J36*'National data'!$N37*'National data'!$O37*$J36</f>
        <v>3495053.050542857</v>
      </c>
      <c r="AB36" s="313">
        <f>'Demand calc &gt;&gt;&gt;'!$J35*'Assumptions data'!$E36*'National data'!$E37*'National data'!$F37*D36</f>
        <v>28874470.671428584</v>
      </c>
      <c r="AC36" s="313">
        <f>'Demand calc &gt;&gt;&gt;'!J35*'Assumptions data'!$G36*'National data'!$H37*'National data'!$I37*$F36</f>
        <v>39214502.178428553</v>
      </c>
      <c r="AD36" s="313">
        <f>'Demand calc &gt;&gt;&gt;'!J35*'Assumptions data'!$I36*'National data'!$K37*'National data'!$L37*$H36</f>
        <v>24154180.730333328</v>
      </c>
      <c r="AE36" s="197">
        <f>'Demand calc &gt;&gt;&gt;'!J35*'Assumptions data'!$J36*'National data'!$N37*'National data'!$O37*$J36</f>
        <v>29235530.504761897</v>
      </c>
      <c r="AF36" s="313">
        <f>'Demand calc &gt;&gt;&gt;'!$K35*'Assumptions data'!$E36*'National data'!$E37*'National data'!$F37*D36</f>
        <v>14221029.675563414</v>
      </c>
      <c r="AG36" s="313">
        <f>'Demand calc &gt;&gt;&gt;'!$K35*'Assumptions data'!$G36*'National data'!$H37*'National data'!$I37*$F36</f>
        <v>19313621.556487828</v>
      </c>
      <c r="AH36" s="313">
        <f>'Demand calc &gt;&gt;&gt;'!K35*'Assumptions data'!$I36*'National data'!$K37*'National data'!$L37*$H36</f>
        <v>11896229.193731485</v>
      </c>
      <c r="AI36" s="197">
        <f>'Demand calc &gt;&gt;&gt;'!K35*'Assumptions data'!$J36*'National data'!$N37*'National data'!$O37*$J36</f>
        <v>14398856.055929506</v>
      </c>
      <c r="AJ36" s="313">
        <f>'Demand calc &gt;&gt;&gt;'!L35*'Assumptions data'!$E36*'National data'!$E37*'National data'!$F37*D36</f>
        <v>4785469.688195114</v>
      </c>
      <c r="AK36" s="313">
        <f>'Demand calc &gt;&gt;&gt;'!L35*'Assumptions data'!$G36*'National data'!$H37*'National data'!$I37*$F36</f>
        <v>6499160.2321638875</v>
      </c>
      <c r="AL36" s="313">
        <f>'Demand calc &gt;&gt;&gt;'!L35*'Assumptions data'!$I36*'National data'!$K37*'National data'!$L37*$H36</f>
        <v>4003159.0896858457</v>
      </c>
      <c r="AM36" s="197">
        <f>'Demand calc &gt;&gt;&gt;'!L35*'Assumptions data'!$J36*'National data'!$N37*'National data'!$O37*$J36</f>
        <v>4845309.4306341354</v>
      </c>
      <c r="AN36" s="313">
        <f>'Demand calc &gt;&gt;&gt;'!M35*'Assumptions data'!$E36*'National data'!$E37*'National data'!$F37*D36</f>
        <v>7880190.7512588697</v>
      </c>
      <c r="AO36" s="313">
        <f>'Demand calc &gt;&gt;&gt;'!M35*'Assumptions data'!$G36*'National data'!$H37*'National data'!$I37*$F36</f>
        <v>10702109.863695197</v>
      </c>
      <c r="AP36" s="313">
        <f>'Demand calc &gt;&gt;&gt;'!M35*'Assumptions data'!$I36*'National data'!$K37*'National data'!$L37*$H36</f>
        <v>6591966.784823169</v>
      </c>
      <c r="AQ36" s="197">
        <f>'Demand calc &gt;&gt;&gt;'!M35*'Assumptions data'!$J36*'National data'!$N37*'National data'!$O37*$J36</f>
        <v>7978728.3276411667</v>
      </c>
      <c r="AR36" s="313">
        <f>'Demand calc &gt;&gt;&gt;'!N35*'Assumptions data'!$E36*'National data'!$E37*'National data'!$F37*D36</f>
        <v>446711.74583046883</v>
      </c>
      <c r="AS36" s="313">
        <f>'Demand calc &gt;&gt;&gt;'!N35*'Assumptions data'!$G36*'National data'!$H37*'National data'!$I37*$F36</f>
        <v>606680.5147473152</v>
      </c>
      <c r="AT36" s="313">
        <f>'Demand calc &gt;&gt;&gt;'!N35*'Assumptions data'!$I36*'National data'!$K37*'National data'!$L37*$H36</f>
        <v>373684.98858157702</v>
      </c>
      <c r="AU36" s="197">
        <f>'Demand calc &gt;&gt;&gt;'!N35*'Assumptions data'!$J36*'National data'!$N37*'National data'!$O37*$J36</f>
        <v>452297.63761470089</v>
      </c>
      <c r="AV36" s="313">
        <f>'Demand calc &gt;&gt;&gt;'!O35*'Assumptions data'!$E36*'National data'!$E37*'National data'!$F37*D36</f>
        <v>19174506.955200009</v>
      </c>
      <c r="AW36" s="313">
        <f>'Demand calc &gt;&gt;&gt;'!O35*'Assumptions data'!$G36*'National data'!$H37*'National data'!$I37*$F36</f>
        <v>26040953.384783994</v>
      </c>
      <c r="AX36" s="313">
        <f>'Demand calc &gt;&gt;&gt;'!O35*'Assumptions data'!$I36*'National data'!$K37*'National data'!$L37*$H36</f>
        <v>16039930.625264002</v>
      </c>
      <c r="AY36" s="197">
        <f>'Demand calc &gt;&gt;&gt;'!O35*'Assumptions data'!$J36*'National data'!$N37*'National data'!$O37*$J36</f>
        <v>19414273.9232</v>
      </c>
    </row>
    <row r="37" spans="1:51">
      <c r="A37" s="9">
        <v>35</v>
      </c>
      <c r="B37" s="1" t="s">
        <v>484</v>
      </c>
      <c r="C37" s="1" t="s">
        <v>485</v>
      </c>
      <c r="D37" s="301">
        <f t="shared" si="4"/>
        <v>8.7468750000000046</v>
      </c>
      <c r="E37" s="313">
        <f>'Demand calc &gt;&gt;&gt;'!$E36*'Assumptions data'!$E37*'National data'!$E38*'National data'!$F38*D37</f>
        <v>1844932264.0600803</v>
      </c>
      <c r="F37" s="301">
        <f t="shared" si="5"/>
        <v>97.47</v>
      </c>
      <c r="G37" s="313">
        <f>'Demand calc &gt;&gt;&gt;'!E36*'Assumptions data'!$G37*'National data'!$H38*'National data'!$I38*$F37</f>
        <v>2505607846.8522692</v>
      </c>
      <c r="H37" s="301">
        <f t="shared" si="3"/>
        <v>45.027500000000003</v>
      </c>
      <c r="I37" s="313">
        <f>'Demand calc &gt;&gt;&gt;'!E36*'Assumptions data'!$I37*'National data'!$K38*'National data'!$L38*$H37</f>
        <v>1543329671.6820977</v>
      </c>
      <c r="J37" s="323">
        <f t="shared" si="6"/>
        <v>31.142857142857142</v>
      </c>
      <c r="K37" s="197">
        <f>'Demand calc &gt;&gt;&gt;'!E36*'Assumptions data'!$J37*'National data'!$N38*'National data'!$O38*J37</f>
        <v>1868002156.6081686</v>
      </c>
      <c r="L37" s="313">
        <f>'Demand calc &gt;&gt;&gt;'!$F36*'Assumptions data'!$E37*'National data'!$E38*'National data'!$F38*$D37</f>
        <v>509775184.69387549</v>
      </c>
      <c r="M37" s="313">
        <f>'Demand calc &gt;&gt;&gt;'!$F36*'Assumptions data'!$G37*'National data'!$H38*'National data'!$I38*$F37</f>
        <v>692327153.5664053</v>
      </c>
      <c r="N37" s="313">
        <f>'Demand calc &gt;&gt;&gt;'!$F36*'Assumptions data'!$I37*'National data'!$K38*'National data'!$L38*$H37</f>
        <v>426439053.48259395</v>
      </c>
      <c r="O37" s="197">
        <f>'Demand calc &gt;&gt;&gt;'!$F36*'Assumptions data'!$J37*'National data'!$N38*'National data'!$O38*$J37</f>
        <v>516149651.09769285</v>
      </c>
      <c r="P37" s="313">
        <f>'Demand calc &gt;&gt;&gt;'!$G36*'Assumptions data'!$E37*'National data'!$E38*'National data'!$F38*$D37</f>
        <v>355442160.03793144</v>
      </c>
      <c r="Q37" s="313">
        <f>'Demand calc &gt;&gt;&gt;'!$G36*'Assumptions data'!$G37*'National data'!$H38*'National data'!$I38*$F37</f>
        <v>482727026.15826696</v>
      </c>
      <c r="R37" s="313">
        <f>'Demand calc &gt;&gt;&gt;'!$G36*'Assumptions data'!$I37*'National data'!$K38*'National data'!$L38*$H37</f>
        <v>297335811.63901871</v>
      </c>
      <c r="S37" s="197">
        <f>'Demand calc &gt;&gt;&gt;'!$G36*'Assumptions data'!$J37*'National data'!$N38*'National data'!$O38*$J37</f>
        <v>359886774.4006778</v>
      </c>
      <c r="T37" s="313">
        <f>'Demand calc &gt;&gt;&gt;'!$H36*'Assumptions data'!$E37*'National data'!$E38*'National data'!$F38*$D37</f>
        <v>1009793732.4735671</v>
      </c>
      <c r="U37" s="313">
        <f>'Demand calc &gt;&gt;&gt;'!$H36*'Assumptions data'!$G37*'National data'!$H38*'National data'!$I38*$F37</f>
        <v>1371403790.3050168</v>
      </c>
      <c r="V37" s="313">
        <f>'Demand calc &gt;&gt;&gt;'!$H36*'Assumptions data'!$I37*'National data'!$K38*'National data'!$L38*$H37</f>
        <v>844716448.38355958</v>
      </c>
      <c r="W37" s="197">
        <f>'Demand calc &gt;&gt;&gt;'!$H36*'Assumptions data'!$J37*'National data'!$N38*'National data'!$O38*$J37</f>
        <v>1022420663.7477983</v>
      </c>
      <c r="X37" s="313">
        <f>'Demand calc &gt;&gt;&gt;'!$I36*'Assumptions data'!$E37*'National data'!$E38*'National data'!$F38*$D37</f>
        <v>11974092.442560008</v>
      </c>
      <c r="Y37" s="313">
        <f>'Demand calc &gt;&gt;&gt;'!$I36*'Assumptions data'!$G37*'National data'!$H38*'National data'!$I38*$F37</f>
        <v>16262049.597955201</v>
      </c>
      <c r="Z37" s="313">
        <f>'Demand calc &gt;&gt;&gt;'!$I36*'Assumptions data'!$I37*'National data'!$K38*'National data'!$L38*$H37</f>
        <v>10016612.814499201</v>
      </c>
      <c r="AA37" s="197">
        <f>'Demand calc &gt;&gt;&gt;'!$I36*'Assumptions data'!$J37*'National data'!$N38*'National data'!$O38*$J37</f>
        <v>12123822.07296</v>
      </c>
      <c r="AB37" s="313">
        <f>'Demand calc &gt;&gt;&gt;'!$J36*'Assumptions data'!$E37*'National data'!$E38*'National data'!$F38*D37</f>
        <v>566861568.44881904</v>
      </c>
      <c r="AC37" s="313">
        <f>'Demand calc &gt;&gt;&gt;'!J36*'Assumptions data'!$G37*'National data'!$H38*'National data'!$I38*$F37</f>
        <v>769856336.54574764</v>
      </c>
      <c r="AD37" s="313">
        <f>'Demand calc &gt;&gt;&gt;'!J36*'Assumptions data'!$I37*'National data'!$K38*'National data'!$L38*$H37</f>
        <v>474193169.77960622</v>
      </c>
      <c r="AE37" s="197">
        <f>'Demand calc &gt;&gt;&gt;'!J36*'Assumptions data'!$J37*'National data'!$N38*'National data'!$O38*$J37</f>
        <v>573949869.5905509</v>
      </c>
      <c r="AF37" s="313">
        <f>'Demand calc &gt;&gt;&gt;'!$K36*'Assumptions data'!$E37*'National data'!$E38*'National data'!$F38*D37</f>
        <v>406886338.66230685</v>
      </c>
      <c r="AG37" s="313">
        <f>'Demand calc &gt;&gt;&gt;'!$K36*'Assumptions data'!$G37*'National data'!$H38*'National data'!$I38*$F37</f>
        <v>552593514.02185988</v>
      </c>
      <c r="AH37" s="313">
        <f>'Demand calc &gt;&gt;&gt;'!K36*'Assumptions data'!$I37*'National data'!$K38*'National data'!$L38*$H37</f>
        <v>340370089.29406387</v>
      </c>
      <c r="AI37" s="197">
        <f>'Demand calc &gt;&gt;&gt;'!K36*'Assumptions data'!$J37*'National data'!$N38*'National data'!$O38*$J37</f>
        <v>411974235.00142074</v>
      </c>
      <c r="AJ37" s="313">
        <f>'Demand calc &gt;&gt;&gt;'!L36*'Assumptions data'!$E37*'National data'!$E38*'National data'!$F38*D37</f>
        <v>137610521.97379956</v>
      </c>
      <c r="AK37" s="313">
        <f>'Demand calc &gt;&gt;&gt;'!L36*'Assumptions data'!$G37*'National data'!$H38*'National data'!$I38*$F37</f>
        <v>186889248.12242341</v>
      </c>
      <c r="AL37" s="313">
        <f>'Demand calc &gt;&gt;&gt;'!L36*'Assumptions data'!$I37*'National data'!$K38*'National data'!$L38*$H37</f>
        <v>115114471.04862928</v>
      </c>
      <c r="AM37" s="197">
        <f>'Demand calc &gt;&gt;&gt;'!L36*'Assumptions data'!$J37*'National data'!$N38*'National data'!$O38*$J37</f>
        <v>139331268.05064222</v>
      </c>
      <c r="AN37" s="313">
        <f>'Demand calc &gt;&gt;&gt;'!M36*'Assumptions data'!$E37*'National data'!$E38*'National data'!$F38*D37</f>
        <v>119169857.26858379</v>
      </c>
      <c r="AO37" s="313">
        <f>'Demand calc &gt;&gt;&gt;'!M36*'Assumptions data'!$G37*'National data'!$H38*'National data'!$I38*$F37</f>
        <v>161844928.02100226</v>
      </c>
      <c r="AP37" s="313">
        <f>'Demand calc &gt;&gt;&gt;'!M36*'Assumptions data'!$I37*'National data'!$K38*'National data'!$L38*$H37</f>
        <v>99688416.900457323</v>
      </c>
      <c r="AQ37" s="197">
        <f>'Demand calc &gt;&gt;&gt;'!M36*'Assumptions data'!$J37*'National data'!$N38*'National data'!$O38*$J37</f>
        <v>120660012.68280324</v>
      </c>
      <c r="AR37" s="313">
        <f>'Demand calc &gt;&gt;&gt;'!N36*'Assumptions data'!$E37*'National data'!$E38*'National data'!$F38*D37</f>
        <v>4449075.7485074457</v>
      </c>
      <c r="AS37" s="313">
        <f>'Demand calc &gt;&gt;&gt;'!N36*'Assumptions data'!$G37*'National data'!$H38*'National data'!$I38*$F37</f>
        <v>6042302.6491867788</v>
      </c>
      <c r="AT37" s="313">
        <f>'Demand calc &gt;&gt;&gt;'!N36*'Assumptions data'!$I37*'National data'!$K38*'National data'!$L38*$H37</f>
        <v>3721757.5669266824</v>
      </c>
      <c r="AU37" s="197">
        <f>'Demand calc &gt;&gt;&gt;'!N36*'Assumptions data'!$J37*'National data'!$N38*'National data'!$O38*$J37</f>
        <v>4504709.0644051777</v>
      </c>
      <c r="AV37" s="313">
        <f>'Demand calc &gt;&gt;&gt;'!O36*'Assumptions data'!$E37*'National data'!$E38*'National data'!$F38*D37</f>
        <v>425745509.06880021</v>
      </c>
      <c r="AW37" s="313">
        <f>'Demand calc &gt;&gt;&gt;'!O36*'Assumptions data'!$G37*'National data'!$H38*'National data'!$I38*$F37</f>
        <v>578206207.92729604</v>
      </c>
      <c r="AX37" s="313">
        <f>'Demand calc &gt;&gt;&gt;'!O36*'Assumptions data'!$I37*'National data'!$K38*'National data'!$L38*$H37</f>
        <v>356146233.40441602</v>
      </c>
      <c r="AY37" s="197">
        <f>'Demand calc &gt;&gt;&gt;'!O36*'Assumptions data'!$J37*'National data'!$N38*'National data'!$O38*$J37</f>
        <v>431069229.2608</v>
      </c>
    </row>
    <row r="38" spans="1:51">
      <c r="A38" s="9">
        <v>36</v>
      </c>
      <c r="B38" s="1" t="s">
        <v>141</v>
      </c>
      <c r="C38" s="1" t="s">
        <v>489</v>
      </c>
      <c r="D38" s="301">
        <f t="shared" si="4"/>
        <v>8.7468750000000046</v>
      </c>
      <c r="E38" s="313">
        <f>'Demand calc &gt;&gt;&gt;'!$E37*'Assumptions data'!$E38*'National data'!$E39*'National data'!$F39*D38</f>
        <v>618912246.77846849</v>
      </c>
      <c r="F38" s="301">
        <f t="shared" si="5"/>
        <v>97.47</v>
      </c>
      <c r="G38" s="313">
        <f>'Demand calc &gt;&gt;&gt;'!E37*'Assumptions data'!$G38*'National data'!$H39*'National data'!$I39*$F38</f>
        <v>840546513.41421747</v>
      </c>
      <c r="H38" s="301">
        <f t="shared" si="3"/>
        <v>45.027500000000003</v>
      </c>
      <c r="I38" s="313">
        <f>'Demand calc &gt;&gt;&gt;'!E37*'Assumptions data'!$I38*'National data'!$K39*'National data'!$L39*$H38</f>
        <v>517734798.84762734</v>
      </c>
      <c r="J38" s="323">
        <f t="shared" si="6"/>
        <v>31.142857142857142</v>
      </c>
      <c r="K38" s="197">
        <f>'Demand calc &gt;&gt;&gt;'!E37*'Assumptions data'!$J38*'National data'!$N39*'National data'!$O39*J38</f>
        <v>626651413.85143936</v>
      </c>
      <c r="L38" s="313">
        <f>'Demand calc &gt;&gt;&gt;'!$F37*'Assumptions data'!$E38*'National data'!$E39*'National data'!$F39*$D38</f>
        <v>162292135.15461516</v>
      </c>
      <c r="M38" s="313">
        <f>'Demand calc &gt;&gt;&gt;'!$F37*'Assumptions data'!$G38*'National data'!$H39*'National data'!$I39*$F38</f>
        <v>220409418.4091793</v>
      </c>
      <c r="N38" s="313">
        <f>'Demand calc &gt;&gt;&gt;'!$F37*'Assumptions data'!$I38*'National data'!$K39*'National data'!$L39*$H38</f>
        <v>135761226.87212232</v>
      </c>
      <c r="O38" s="197">
        <f>'Demand calc &gt;&gt;&gt;'!$F37*'Assumptions data'!$J38*'National data'!$N39*'National data'!$O39*$J38</f>
        <v>164321511.62135732</v>
      </c>
      <c r="P38" s="313">
        <f>'Demand calc &gt;&gt;&gt;'!$G37*'Assumptions data'!$E38*'National data'!$E39*'National data'!$F39*$D38</f>
        <v>119571000.50405189</v>
      </c>
      <c r="Q38" s="313">
        <f>'Demand calc &gt;&gt;&gt;'!$G37*'Assumptions data'!$G38*'National data'!$H39*'National data'!$I39*$F38</f>
        <v>162389721.80995616</v>
      </c>
      <c r="R38" s="313">
        <f>'Demand calc &gt;&gt;&gt;'!$G37*'Assumptions data'!$I38*'National data'!$K39*'National data'!$L39*$H38</f>
        <v>100023982.747482</v>
      </c>
      <c r="S38" s="197">
        <f>'Demand calc &gt;&gt;&gt;'!$G37*'Assumptions data'!$J38*'National data'!$N39*'National data'!$O39*$J38</f>
        <v>121066172.0001725</v>
      </c>
      <c r="T38" s="313">
        <f>'Demand calc &gt;&gt;&gt;'!$H37*'Assumptions data'!$E38*'National data'!$E39*'National data'!$F39*$D38</f>
        <v>318302088.97246975</v>
      </c>
      <c r="U38" s="313">
        <f>'Demand calc &gt;&gt;&gt;'!$H37*'Assumptions data'!$G38*'National data'!$H39*'National data'!$I39*$F38</f>
        <v>432286988.164958</v>
      </c>
      <c r="V38" s="313">
        <f>'Demand calc &gt;&gt;&gt;'!$H37*'Assumptions data'!$I38*'National data'!$K39*'National data'!$L39*$H38</f>
        <v>266267259.80093226</v>
      </c>
      <c r="W38" s="197">
        <f>'Demand calc &gt;&gt;&gt;'!$H37*'Assumptions data'!$J38*'National data'!$N39*'National data'!$O39*$J38</f>
        <v>322282286.58377224</v>
      </c>
      <c r="X38" s="313">
        <f>'Demand calc &gt;&gt;&gt;'!$I37*'Assumptions data'!$E38*'National data'!$E39*'National data'!$F39*$D38</f>
        <v>10889854.756650006</v>
      </c>
      <c r="Y38" s="313">
        <f>'Demand calc &gt;&gt;&gt;'!$I37*'Assumptions data'!$G38*'National data'!$H39*'National data'!$I39*$F38</f>
        <v>14789543.259055499</v>
      </c>
      <c r="Z38" s="313">
        <f>'Demand calc &gt;&gt;&gt;'!$I37*'Assumptions data'!$I38*'National data'!$K39*'National data'!$L39*$H38</f>
        <v>9109622.2303905021</v>
      </c>
      <c r="AA38" s="197">
        <f>'Demand calc &gt;&gt;&gt;'!$I37*'Assumptions data'!$J38*'National data'!$N39*'National data'!$O39*$J38</f>
        <v>11026026.573899999</v>
      </c>
      <c r="AB38" s="313">
        <f>'Demand calc &gt;&gt;&gt;'!$J37*'Assumptions data'!$E38*'National data'!$E39*'National data'!$F39*D38</f>
        <v>206314928.98585457</v>
      </c>
      <c r="AC38" s="313">
        <f>'Demand calc &gt;&gt;&gt;'!J37*'Assumptions data'!$G38*'National data'!$H39*'National data'!$I39*$F38</f>
        <v>280196902.10853803</v>
      </c>
      <c r="AD38" s="313">
        <f>'Demand calc &gt;&gt;&gt;'!J37*'Assumptions data'!$I38*'National data'!$K39*'National data'!$L39*$H38</f>
        <v>172587339.82684863</v>
      </c>
      <c r="AE38" s="197">
        <f>'Demand calc &gt;&gt;&gt;'!J37*'Assumptions data'!$J38*'National data'!$N39*'National data'!$O39*$J38</f>
        <v>208894786.97603127</v>
      </c>
      <c r="AF38" s="313">
        <f>'Demand calc &gt;&gt;&gt;'!$K37*'Assumptions data'!$E38*'National data'!$E39*'National data'!$F39*D38</f>
        <v>132400895.67986624</v>
      </c>
      <c r="AG38" s="313">
        <f>'Demand calc &gt;&gt;&gt;'!$K37*'Assumptions data'!$G38*'National data'!$H39*'National data'!$I39*$F38</f>
        <v>179814039.57654363</v>
      </c>
      <c r="AH38" s="313">
        <f>'Demand calc &gt;&gt;&gt;'!K37*'Assumptions data'!$I38*'National data'!$K39*'National data'!$L39*$H38</f>
        <v>110756494.880925</v>
      </c>
      <c r="AI38" s="197">
        <f>'Demand calc &gt;&gt;&gt;'!K37*'Assumptions data'!$J38*'National data'!$N39*'National data'!$O39*$J38</f>
        <v>134056498.16246539</v>
      </c>
      <c r="AJ38" s="313">
        <f>'Demand calc &gt;&gt;&gt;'!L37*'Assumptions data'!$E38*'National data'!$E39*'National data'!$F39*D38</f>
        <v>37713994.463232554</v>
      </c>
      <c r="AK38" s="313">
        <f>'Demand calc &gt;&gt;&gt;'!L37*'Assumptions data'!$G38*'National data'!$H39*'National data'!$I39*$F38</f>
        <v>51219485.020693012</v>
      </c>
      <c r="AL38" s="313">
        <f>'Demand calc &gt;&gt;&gt;'!L37*'Assumptions data'!$I38*'National data'!$K39*'National data'!$L39*$H38</f>
        <v>31548652.395872299</v>
      </c>
      <c r="AM38" s="197">
        <f>'Demand calc &gt;&gt;&gt;'!L37*'Assumptions data'!$J38*'National data'!$N39*'National data'!$O39*$J38</f>
        <v>38185587.820221864</v>
      </c>
      <c r="AN38" s="313">
        <f>'Demand calc &gt;&gt;&gt;'!M37*'Assumptions data'!$E38*'National data'!$E39*'National data'!$F39*D38</f>
        <v>46079718.351179592</v>
      </c>
      <c r="AO38" s="313">
        <f>'Demand calc &gt;&gt;&gt;'!M37*'Assumptions data'!$G38*'National data'!$H39*'National data'!$I39*$F38</f>
        <v>62580998.842404224</v>
      </c>
      <c r="AP38" s="313">
        <f>'Demand calc &gt;&gt;&gt;'!M37*'Assumptions data'!$I38*'National data'!$K39*'National data'!$L39*$H38</f>
        <v>38546779.185066946</v>
      </c>
      <c r="AQ38" s="197">
        <f>'Demand calc &gt;&gt;&gt;'!M37*'Assumptions data'!$J38*'National data'!$N39*'National data'!$O39*$J38</f>
        <v>46655920.617092848</v>
      </c>
      <c r="AR38" s="313">
        <f>'Demand calc &gt;&gt;&gt;'!N37*'Assumptions data'!$E38*'National data'!$E39*'National data'!$F39*D38</f>
        <v>2638693.3375378163</v>
      </c>
      <c r="AS38" s="313">
        <f>'Demand calc &gt;&gt;&gt;'!N37*'Assumptions data'!$G38*'National data'!$H39*'National data'!$I39*$F38</f>
        <v>3583617.0578001495</v>
      </c>
      <c r="AT38" s="313">
        <f>'Demand calc &gt;&gt;&gt;'!N37*'Assumptions data'!$I38*'National data'!$K39*'National data'!$L39*$H38</f>
        <v>2207329.668206919</v>
      </c>
      <c r="AU38" s="197">
        <f>'Demand calc &gt;&gt;&gt;'!N37*'Assumptions data'!$J38*'National data'!$N39*'National data'!$O39*$J38</f>
        <v>2671688.788346611</v>
      </c>
      <c r="AV38" s="313">
        <f>'Demand calc &gt;&gt;&gt;'!O37*'Assumptions data'!$E38*'National data'!$E39*'National data'!$F39*D38</f>
        <v>176530277.10780013</v>
      </c>
      <c r="AW38" s="313">
        <f>'Demand calc &gt;&gt;&gt;'!O37*'Assumptions data'!$G38*'National data'!$H39*'National data'!$I39*$F38</f>
        <v>239746280.19942597</v>
      </c>
      <c r="AX38" s="313">
        <f>'Demand calc &gt;&gt;&gt;'!O37*'Assumptions data'!$I38*'National data'!$K39*'National data'!$L39*$H38</f>
        <v>147671770.89264601</v>
      </c>
      <c r="AY38" s="197">
        <f>'Demand calc &gt;&gt;&gt;'!O37*'Assumptions data'!$J38*'National data'!$N39*'National data'!$O39*$J38</f>
        <v>178737693.9348</v>
      </c>
    </row>
    <row r="39" spans="1:51">
      <c r="A39" s="9">
        <v>37</v>
      </c>
      <c r="B39" s="1" t="s">
        <v>493</v>
      </c>
      <c r="C39" s="1" t="s">
        <v>494</v>
      </c>
      <c r="D39" s="301">
        <f t="shared" si="4"/>
        <v>8.7468750000000046</v>
      </c>
      <c r="E39" s="313">
        <f>'Demand calc &gt;&gt;&gt;'!$E38*'Assumptions data'!$E39*'National data'!$E40*'National data'!$F40*D39</f>
        <v>663794940.55004275</v>
      </c>
      <c r="F39" s="301">
        <f t="shared" si="5"/>
        <v>97.47</v>
      </c>
      <c r="G39" s="313">
        <f>'Demand calc &gt;&gt;&gt;'!E38*'Assumptions data'!$G39*'National data'!$H40*'National data'!$I40*$F39</f>
        <v>901501829.71100128</v>
      </c>
      <c r="H39" s="301">
        <f t="shared" si="3"/>
        <v>45.027500000000003</v>
      </c>
      <c r="I39" s="313">
        <f>'Demand calc &gt;&gt;&gt;'!E38*'Assumptions data'!$I39*'National data'!$K40*'National data'!$L40*$H39</f>
        <v>555280238.53236365</v>
      </c>
      <c r="J39" s="323">
        <f t="shared" si="6"/>
        <v>31.142857142857142</v>
      </c>
      <c r="K39" s="197">
        <f>'Demand calc &gt;&gt;&gt;'!E38*'Assumptions data'!$J39*'National data'!$N40*'National data'!$O40*J39</f>
        <v>672095341.7359128</v>
      </c>
      <c r="L39" s="313">
        <f>'Demand calc &gt;&gt;&gt;'!$F38*'Assumptions data'!$E39*'National data'!$E40*'National data'!$F40*$D39</f>
        <v>166610170.49361852</v>
      </c>
      <c r="M39" s="313">
        <f>'Demand calc &gt;&gt;&gt;'!$F38*'Assumptions data'!$G39*'National data'!$H40*'National data'!$I40*$F39</f>
        <v>226273754.699002</v>
      </c>
      <c r="N39" s="313">
        <f>'Demand calc &gt;&gt;&gt;'!$F38*'Assumptions data'!$I39*'National data'!$K40*'National data'!$L40*$H39</f>
        <v>139373366.02317724</v>
      </c>
      <c r="O39" s="197">
        <f>'Demand calc &gt;&gt;&gt;'!$F38*'Assumptions data'!$J39*'National data'!$N40*'National data'!$O40*$J39</f>
        <v>168693541.68592876</v>
      </c>
      <c r="P39" s="313">
        <f>'Demand calc &gt;&gt;&gt;'!$G38*'Assumptions data'!$E39*'National data'!$E40*'National data'!$F40*$D39</f>
        <v>109923689.77184236</v>
      </c>
      <c r="Q39" s="313">
        <f>'Demand calc &gt;&gt;&gt;'!$G38*'Assumptions data'!$G39*'National data'!$H40*'National data'!$I40*$F39</f>
        <v>149287681.18627983</v>
      </c>
      <c r="R39" s="313">
        <f>'Demand calc &gt;&gt;&gt;'!$G38*'Assumptions data'!$I39*'National data'!$K40*'National data'!$L40*$H39</f>
        <v>91953778.114499718</v>
      </c>
      <c r="S39" s="197">
        <f>'Demand calc &gt;&gt;&gt;'!$G38*'Assumptions data'!$J39*'National data'!$N40*'National data'!$O40*$J39</f>
        <v>111298226.80007184</v>
      </c>
      <c r="T39" s="313">
        <f>'Demand calc &gt;&gt;&gt;'!$H38*'Assumptions data'!$E39*'National data'!$E40*'National data'!$F40*$D39</f>
        <v>379909035.54492265</v>
      </c>
      <c r="U39" s="313">
        <f>'Demand calc &gt;&gt;&gt;'!$H38*'Assumptions data'!$G39*'National data'!$H40*'National data'!$I40*$F39</f>
        <v>515955560.58877462</v>
      </c>
      <c r="V39" s="313">
        <f>'Demand calc &gt;&gt;&gt;'!$H38*'Assumptions data'!$I39*'National data'!$K40*'National data'!$L40*$H39</f>
        <v>317802934.29651588</v>
      </c>
      <c r="W39" s="197">
        <f>'Demand calc &gt;&gt;&gt;'!$H38*'Assumptions data'!$J39*'National data'!$N40*'National data'!$O40*$J39</f>
        <v>384659595.11765283</v>
      </c>
      <c r="X39" s="313">
        <f>'Demand calc &gt;&gt;&gt;'!$I38*'Assumptions data'!$E39*'National data'!$E40*'National data'!$F40*$D39</f>
        <v>5887195.7804307695</v>
      </c>
      <c r="Y39" s="313">
        <f>'Demand calc &gt;&gt;&gt;'!$I38*'Assumptions data'!$G39*'National data'!$H40*'National data'!$I40*$F39</f>
        <v>7995417.6263039941</v>
      </c>
      <c r="Z39" s="313">
        <f>'Demand calc &gt;&gt;&gt;'!$I38*'Assumptions data'!$I39*'National data'!$K40*'National data'!$L40*$H39</f>
        <v>4924779.1411839975</v>
      </c>
      <c r="AA39" s="197">
        <f>'Demand calc &gt;&gt;&gt;'!$I38*'Assumptions data'!$J39*'National data'!$N40*'National data'!$O40*$J39</f>
        <v>5960812.0191999953</v>
      </c>
      <c r="AB39" s="313">
        <f>'Demand calc &gt;&gt;&gt;'!$J38*'Assumptions data'!$E39*'National data'!$E40*'National data'!$F40*D39</f>
        <v>173121842.74965519</v>
      </c>
      <c r="AC39" s="313">
        <f>'Demand calc &gt;&gt;&gt;'!J38*'Assumptions data'!$G39*'National data'!$H40*'National data'!$I40*$F39</f>
        <v>235117275.633993</v>
      </c>
      <c r="AD39" s="313">
        <f>'Demand calc &gt;&gt;&gt;'!J38*'Assumptions data'!$I39*'National data'!$K40*'National data'!$L40*$H39</f>
        <v>144820534.57282066</v>
      </c>
      <c r="AE39" s="197">
        <f>'Demand calc &gt;&gt;&gt;'!J38*'Assumptions data'!$J39*'National data'!$N40*'National data'!$O40*$J39</f>
        <v>175286638.92551714</v>
      </c>
      <c r="AF39" s="313">
        <f>'Demand calc &gt;&gt;&gt;'!$K38*'Assumptions data'!$E39*'National data'!$E40*'National data'!$F40*D39</f>
        <v>141571718.66729274</v>
      </c>
      <c r="AG39" s="313">
        <f>'Demand calc &gt;&gt;&gt;'!$K38*'Assumptions data'!$G39*'National data'!$H40*'National data'!$I40*$F39</f>
        <v>192268960.81512669</v>
      </c>
      <c r="AH39" s="313">
        <f>'Demand calc &gt;&gt;&gt;'!K38*'Assumptions data'!$I39*'National data'!$K40*'National data'!$L40*$H39</f>
        <v>118428106.19476925</v>
      </c>
      <c r="AI39" s="197">
        <f>'Demand calc &gt;&gt;&gt;'!K38*'Assumptions data'!$J39*'National data'!$N40*'National data'!$O40*$J39</f>
        <v>143341997.39303586</v>
      </c>
      <c r="AJ39" s="313">
        <f>'Demand calc &gt;&gt;&gt;'!L38*'Assumptions data'!$E39*'National data'!$E40*'National data'!$F40*D39</f>
        <v>38704149.791199394</v>
      </c>
      <c r="AK39" s="313">
        <f>'Demand calc &gt;&gt;&gt;'!L38*'Assumptions data'!$G39*'National data'!$H40*'National data'!$I40*$F39</f>
        <v>52564217.837006047</v>
      </c>
      <c r="AL39" s="313">
        <f>'Demand calc &gt;&gt;&gt;'!L38*'Assumptions data'!$I39*'National data'!$K40*'National data'!$L40*$H39</f>
        <v>32376940.852307241</v>
      </c>
      <c r="AM39" s="197">
        <f>'Demand calc &gt;&gt;&gt;'!L38*'Assumptions data'!$J39*'National data'!$N40*'National data'!$O40*$J39</f>
        <v>39188124.511703826</v>
      </c>
      <c r="AN39" s="313">
        <f>'Demand calc &gt;&gt;&gt;'!M38*'Assumptions data'!$E39*'National data'!$E40*'National data'!$F40*D39</f>
        <v>37866962.425474308</v>
      </c>
      <c r="AO39" s="313">
        <f>'Demand calc &gt;&gt;&gt;'!M38*'Assumptions data'!$G39*'National data'!$H40*'National data'!$I40*$F39</f>
        <v>51427231.252886094</v>
      </c>
      <c r="AP39" s="313">
        <f>'Demand calc &gt;&gt;&gt;'!M38*'Assumptions data'!$I39*'National data'!$K40*'National data'!$L40*$H39</f>
        <v>31676613.730574589</v>
      </c>
      <c r="AQ39" s="197">
        <f>'Demand calc &gt;&gt;&gt;'!M38*'Assumptions data'!$J39*'National data'!$N40*'National data'!$O40*$J39</f>
        <v>38340468.565128312</v>
      </c>
      <c r="AR39" s="313">
        <f>'Demand calc &gt;&gt;&gt;'!N38*'Assumptions data'!$E39*'National data'!$E40*'National data'!$F40*D39</f>
        <v>1957080.414777701</v>
      </c>
      <c r="AS39" s="313">
        <f>'Demand calc &gt;&gt;&gt;'!N38*'Assumptions data'!$G39*'National data'!$H40*'National data'!$I40*$F39</f>
        <v>2657916.5748863565</v>
      </c>
      <c r="AT39" s="313">
        <f>'Demand calc &gt;&gt;&gt;'!N38*'Assumptions data'!$I39*'National data'!$K40*'National data'!$L40*$H39</f>
        <v>1637144.2642275637</v>
      </c>
      <c r="AU39" s="197">
        <f>'Demand calc &gt;&gt;&gt;'!N38*'Assumptions data'!$J39*'National data'!$N40*'National data'!$O40*$J39</f>
        <v>1981552.660050018</v>
      </c>
      <c r="AV39" s="313">
        <f>'Demand calc &gt;&gt;&gt;'!O38*'Assumptions data'!$E39*'National data'!$E40*'National data'!$F40*D39</f>
        <v>153067090.29120013</v>
      </c>
      <c r="AW39" s="313">
        <f>'Demand calc &gt;&gt;&gt;'!O38*'Assumptions data'!$G39*'National data'!$H40*'National data'!$I40*$F39</f>
        <v>207880858.28390399</v>
      </c>
      <c r="AX39" s="313">
        <f>'Demand calc &gt;&gt;&gt;'!O38*'Assumptions data'!$I39*'National data'!$K40*'National data'!$L40*$H39</f>
        <v>128044257.67078403</v>
      </c>
      <c r="AY39" s="197">
        <f>'Demand calc &gt;&gt;&gt;'!O38*'Assumptions data'!$J39*'National data'!$N40*'National data'!$O40*$J39</f>
        <v>154981112.49919999</v>
      </c>
    </row>
    <row r="40" spans="1:51">
      <c r="A40" s="9">
        <v>38</v>
      </c>
      <c r="B40" s="1" t="s">
        <v>498</v>
      </c>
      <c r="C40" s="1" t="s">
        <v>499</v>
      </c>
      <c r="D40" s="301">
        <f t="shared" si="4"/>
        <v>8.7468750000000046</v>
      </c>
      <c r="E40" s="313">
        <f>'Demand calc &gt;&gt;&gt;'!$E39*'Assumptions data'!$E40*'National data'!$E41*'National data'!$F41*D40</f>
        <v>1528035947.5357416</v>
      </c>
      <c r="F40" s="301">
        <f t="shared" si="5"/>
        <v>97.47</v>
      </c>
      <c r="G40" s="313">
        <f>'Demand calc &gt;&gt;&gt;'!E39*'Assumptions data'!$G40*'National data'!$H41*'National data'!$I41*$F40</f>
        <v>2075230042.3172698</v>
      </c>
      <c r="H40" s="301">
        <f t="shared" si="3"/>
        <v>45.027500000000003</v>
      </c>
      <c r="I40" s="313">
        <f>'Demand calc &gt;&gt;&gt;'!E39*'Assumptions data'!$I40*'National data'!$K41*'National data'!$L41*$H40</f>
        <v>1278238373.9330511</v>
      </c>
      <c r="J40" s="323">
        <f t="shared" si="6"/>
        <v>31.142857142857142</v>
      </c>
      <c r="K40" s="197">
        <f>'Demand calc &gt;&gt;&gt;'!E39*'Assumptions data'!$J40*'National data'!$N41*'National data'!$O41*J40</f>
        <v>1547143220.9061413</v>
      </c>
      <c r="L40" s="313">
        <f>'Demand calc &gt;&gt;&gt;'!$F39*'Assumptions data'!$E40*'National data'!$E41*'National data'!$F41*$D40</f>
        <v>405981494.35826635</v>
      </c>
      <c r="M40" s="313">
        <f>'Demand calc &gt;&gt;&gt;'!$F39*'Assumptions data'!$G40*'National data'!$H41*'National data'!$I41*$F40</f>
        <v>551364642.35402203</v>
      </c>
      <c r="N40" s="313">
        <f>'Demand calc &gt;&gt;&gt;'!$F39*'Assumptions data'!$I40*'National data'!$K41*'National data'!$L41*$H40</f>
        <v>339613165.53600395</v>
      </c>
      <c r="O40" s="197">
        <f>'Demand calc &gt;&gt;&gt;'!$F39*'Assumptions data'!$J40*'National data'!$N41*'National data'!$O41*$J40</f>
        <v>411058076.10265309</v>
      </c>
      <c r="P40" s="313">
        <f>'Demand calc &gt;&gt;&gt;'!$G39*'Assumptions data'!$E40*'National data'!$E41*'National data'!$F41*$D40</f>
        <v>304864256.14895988</v>
      </c>
      <c r="Q40" s="313">
        <f>'Demand calc &gt;&gt;&gt;'!$G39*'Assumptions data'!$G40*'National data'!$H41*'National data'!$I41*$F40</f>
        <v>414037028.51973027</v>
      </c>
      <c r="R40" s="313">
        <f>'Demand calc &gt;&gt;&gt;'!$G39*'Assumptions data'!$I40*'National data'!$K41*'National data'!$L41*$H40</f>
        <v>255026193.3815144</v>
      </c>
      <c r="S40" s="197">
        <f>'Demand calc &gt;&gt;&gt;'!$G39*'Assumptions data'!$J40*'National data'!$N41*'National data'!$O41*$J40</f>
        <v>308676420.8382107</v>
      </c>
      <c r="T40" s="313">
        <f>'Demand calc &gt;&gt;&gt;'!$H39*'Assumptions data'!$E40*'National data'!$E41*'National data'!$F41*$D40</f>
        <v>872541000.73138225</v>
      </c>
      <c r="U40" s="313">
        <f>'Demand calc &gt;&gt;&gt;'!$H39*'Assumptions data'!$G40*'National data'!$H41*'National data'!$I41*$F40</f>
        <v>1185000458.1315553</v>
      </c>
      <c r="V40" s="313">
        <f>'Demand calc &gt;&gt;&gt;'!$H39*'Assumptions data'!$I40*'National data'!$K41*'National data'!$L41*$H40</f>
        <v>729901277.36422992</v>
      </c>
      <c r="W40" s="197">
        <f>'Demand calc &gt;&gt;&gt;'!$H39*'Assumptions data'!$J40*'National data'!$N41*'National data'!$O41*$J40</f>
        <v>883451659.90451419</v>
      </c>
      <c r="X40" s="313">
        <f>'Demand calc &gt;&gt;&gt;'!$I39*'Assumptions data'!$E40*'National data'!$E41*'National data'!$F41*$D40</f>
        <v>13977380.091436366</v>
      </c>
      <c r="Y40" s="313">
        <f>'Demand calc &gt;&gt;&gt;'!$I39*'Assumptions data'!$G40*'National data'!$H41*'National data'!$I41*$F40</f>
        <v>18982720.351189625</v>
      </c>
      <c r="Z40" s="313">
        <f>'Demand calc &gt;&gt;&gt;'!$I39*'Assumptions data'!$I40*'National data'!$K41*'National data'!$L41*$H40</f>
        <v>11692410.527864179</v>
      </c>
      <c r="AA40" s="197">
        <f>'Demand calc &gt;&gt;&gt;'!$I39*'Assumptions data'!$J40*'National data'!$N41*'National data'!$O41*$J40</f>
        <v>14152159.763890902</v>
      </c>
      <c r="AB40" s="313">
        <f>'Demand calc &gt;&gt;&gt;'!$J39*'Assumptions data'!$E40*'National data'!$E41*'National data'!$F41*D40</f>
        <v>380968877.56380928</v>
      </c>
      <c r="AC40" s="313">
        <f>'Demand calc &gt;&gt;&gt;'!J39*'Assumptions data'!$G40*'National data'!$H41*'National data'!$I41*$F40</f>
        <v>517394935.10169148</v>
      </c>
      <c r="AD40" s="313">
        <f>'Demand calc &gt;&gt;&gt;'!J39*'Assumptions data'!$I40*'National data'!$K41*'National data'!$L41*$H40</f>
        <v>318689517.32555538</v>
      </c>
      <c r="AE40" s="197">
        <f>'Demand calc &gt;&gt;&gt;'!J39*'Assumptions data'!$J40*'National data'!$N41*'National data'!$O41*$J40</f>
        <v>385732689.89490348</v>
      </c>
      <c r="AF40" s="313">
        <f>'Demand calc &gt;&gt;&gt;'!$K39*'Assumptions data'!$E40*'National data'!$E41*'National data'!$F41*D40</f>
        <v>301740089.14608353</v>
      </c>
      <c r="AG40" s="313">
        <f>'Demand calc &gt;&gt;&gt;'!$K39*'Assumptions data'!$G40*'National data'!$H41*'National data'!$I41*$F40</f>
        <v>409794088.27212614</v>
      </c>
      <c r="AH40" s="313">
        <f>'Demand calc &gt;&gt;&gt;'!K39*'Assumptions data'!$I40*'National data'!$K41*'National data'!$L41*$H40</f>
        <v>252412753.45813295</v>
      </c>
      <c r="AI40" s="197">
        <f>'Demand calc &gt;&gt;&gt;'!K39*'Assumptions data'!$J40*'National data'!$N41*'National data'!$O41*$J40</f>
        <v>305513187.79564136</v>
      </c>
      <c r="AJ40" s="313">
        <f>'Demand calc &gt;&gt;&gt;'!L39*'Assumptions data'!$E40*'National data'!$E41*'National data'!$F41*D40</f>
        <v>84690179.258179367</v>
      </c>
      <c r="AK40" s="313">
        <f>'Demand calc &gt;&gt;&gt;'!L39*'Assumptions data'!$G40*'National data'!$H41*'National data'!$I41*$F40</f>
        <v>115017977.53465337</v>
      </c>
      <c r="AL40" s="313">
        <f>'Demand calc &gt;&gt;&gt;'!L39*'Assumptions data'!$I40*'National data'!$K41*'National data'!$L41*$H40</f>
        <v>70845347.05983524</v>
      </c>
      <c r="AM40" s="197">
        <f>'Demand calc &gt;&gt;&gt;'!L39*'Assumptions data'!$J40*'National data'!$N41*'National data'!$O41*$J40</f>
        <v>85749184.715141177</v>
      </c>
      <c r="AN40" s="313">
        <f>'Demand calc &gt;&gt;&gt;'!M39*'Assumptions data'!$E40*'National data'!$E41*'National data'!$F41*D40</f>
        <v>98406936.764184728</v>
      </c>
      <c r="AO40" s="313">
        <f>'Demand calc &gt;&gt;&gt;'!M39*'Assumptions data'!$G40*'National data'!$H41*'National data'!$I41*$F40</f>
        <v>133646745.59835586</v>
      </c>
      <c r="AP40" s="313">
        <f>'Demand calc &gt;&gt;&gt;'!M39*'Assumptions data'!$I40*'National data'!$K41*'National data'!$L41*$H40</f>
        <v>82319740.602988541</v>
      </c>
      <c r="AQ40" s="197">
        <f>'Demand calc &gt;&gt;&gt;'!M39*'Assumptions data'!$J40*'National data'!$N41*'National data'!$O41*$J40</f>
        <v>99637462.947373807</v>
      </c>
      <c r="AR40" s="313">
        <f>'Demand calc &gt;&gt;&gt;'!N39*'Assumptions data'!$E40*'National data'!$E41*'National data'!$F41*D40</f>
        <v>2042789.9104868954</v>
      </c>
      <c r="AS40" s="313">
        <f>'Demand calc &gt;&gt;&gt;'!N39*'Assumptions data'!$G40*'National data'!$H41*'National data'!$I41*$F40</f>
        <v>2774318.8890429242</v>
      </c>
      <c r="AT40" s="313">
        <f>'Demand calc &gt;&gt;&gt;'!N39*'Assumptions data'!$I40*'National data'!$K41*'National data'!$L41*$H40</f>
        <v>1708842.2937160877</v>
      </c>
      <c r="AU40" s="197">
        <f>'Demand calc &gt;&gt;&gt;'!N39*'Assumptions data'!$J40*'National data'!$N41*'National data'!$O41*$J40</f>
        <v>2068333.9072239578</v>
      </c>
      <c r="AV40" s="313">
        <f>'Demand calc &gt;&gt;&gt;'!O39*'Assumptions data'!$E40*'National data'!$E41*'National data'!$F41*D40</f>
        <v>395360179.7292003</v>
      </c>
      <c r="AW40" s="313">
        <f>'Demand calc &gt;&gt;&gt;'!O39*'Assumptions data'!$G40*'National data'!$H41*'National data'!$I41*$F40</f>
        <v>536939804.21936405</v>
      </c>
      <c r="AX40" s="313">
        <f>'Demand calc &gt;&gt;&gt;'!O39*'Assumptions data'!$I40*'National data'!$K41*'National data'!$L41*$H40</f>
        <v>330728183.50244403</v>
      </c>
      <c r="AY40" s="197">
        <f>'Demand calc &gt;&gt;&gt;'!O39*'Assumptions data'!$J40*'National data'!$N41*'National data'!$O41*$J40</f>
        <v>400303947.60720003</v>
      </c>
    </row>
    <row r="41" spans="1:51">
      <c r="A41" s="9">
        <v>39</v>
      </c>
      <c r="B41" s="1" t="s">
        <v>503</v>
      </c>
      <c r="C41" s="1" t="s">
        <v>504</v>
      </c>
      <c r="D41" s="301">
        <f t="shared" si="4"/>
        <v>8.7468750000000046</v>
      </c>
      <c r="E41" s="313">
        <f>'Demand calc &gt;&gt;&gt;'!$E40*'Assumptions data'!$E41*'National data'!$E42*'National data'!$F42*D41</f>
        <v>152837186.33454555</v>
      </c>
      <c r="F41" s="301">
        <f t="shared" si="5"/>
        <v>97.47</v>
      </c>
      <c r="G41" s="313">
        <f>'Demand calc &gt;&gt;&gt;'!E40*'Assumptions data'!$G41*'National data'!$H42*'National data'!$I42*$F41</f>
        <v>207568625.05505455</v>
      </c>
      <c r="H41" s="301">
        <f t="shared" si="3"/>
        <v>45.027500000000003</v>
      </c>
      <c r="I41" s="313">
        <f>'Demand calc &gt;&gt;&gt;'!E40*'Assumptions data'!$I41*'National data'!$K42*'National data'!$L42*$H41</f>
        <v>127851937.54887275</v>
      </c>
      <c r="J41" s="323">
        <f t="shared" si="6"/>
        <v>31.142857142857142</v>
      </c>
      <c r="K41" s="197">
        <f>'Demand calc &gt;&gt;&gt;'!E40*'Assumptions data'!$J41*'National data'!$N42*'National data'!$O42*J41</f>
        <v>154748333.71636364</v>
      </c>
      <c r="L41" s="313">
        <f>'Demand calc &gt;&gt;&gt;'!$F40*'Assumptions data'!$E41*'National data'!$E42*'National data'!$F42*$D41</f>
        <v>33292795.787027616</v>
      </c>
      <c r="M41" s="313">
        <f>'Demand calc &gt;&gt;&gt;'!$F40*'Assumptions data'!$G41*'National data'!$H42*'National data'!$I42*$F41</f>
        <v>45215042.304073453</v>
      </c>
      <c r="N41" s="313">
        <f>'Demand calc &gt;&gt;&gt;'!$F40*'Assumptions data'!$I41*'National data'!$K42*'National data'!$L42*$H41</f>
        <v>27850214.662243672</v>
      </c>
      <c r="O41" s="197">
        <f>'Demand calc &gt;&gt;&gt;'!$F40*'Assumptions data'!$J41*'National data'!$N42*'National data'!$O42*$J41</f>
        <v>33709104.416018642</v>
      </c>
      <c r="P41" s="313">
        <f>'Demand calc &gt;&gt;&gt;'!$G40*'Assumptions data'!$E41*'National data'!$E42*'National data'!$F42*$D41</f>
        <v>25903072.765439998</v>
      </c>
      <c r="Q41" s="313">
        <f>'Demand calc &gt;&gt;&gt;'!$G40*'Assumptions data'!$G41*'National data'!$H42*'National data'!$I42*$F41</f>
        <v>35179038.083404779</v>
      </c>
      <c r="R41" s="313">
        <f>'Demand calc &gt;&gt;&gt;'!$G40*'Assumptions data'!$I41*'National data'!$K42*'National data'!$L42*$H41</f>
        <v>21668535.786060788</v>
      </c>
      <c r="S41" s="197">
        <f>'Demand calc &gt;&gt;&gt;'!$G40*'Assumptions data'!$J41*'National data'!$N42*'National data'!$O42*$J41</f>
        <v>26226976.855039984</v>
      </c>
      <c r="T41" s="313">
        <f>'Demand calc &gt;&gt;&gt;'!$H40*'Assumptions data'!$E41*'National data'!$E42*'National data'!$F42*$D41</f>
        <v>97944373.735992804</v>
      </c>
      <c r="U41" s="313">
        <f>'Demand calc &gt;&gt;&gt;'!$H40*'Assumptions data'!$G41*'National data'!$H42*'National data'!$I42*$F41</f>
        <v>133018537.41116162</v>
      </c>
      <c r="V41" s="313">
        <f>'Demand calc &gt;&gt;&gt;'!$H40*'Assumptions data'!$I41*'National data'!$K42*'National data'!$L42*$H41</f>
        <v>81932795.640109152</v>
      </c>
      <c r="W41" s="197">
        <f>'Demand calc &gt;&gt;&gt;'!$H40*'Assumptions data'!$J41*'National data'!$N42*'National data'!$O42*$J41</f>
        <v>99169115.815578222</v>
      </c>
      <c r="X41" s="313">
        <f>'Demand calc &gt;&gt;&gt;'!$I40*'Assumptions data'!$E41*'National data'!$E42*'National data'!$F42*$D41</f>
        <v>468833.89620705944</v>
      </c>
      <c r="Y41" s="313">
        <f>'Demand calc &gt;&gt;&gt;'!$I40*'Assumptions data'!$G41*'National data'!$H42*'National data'!$I42*$F41</f>
        <v>636724.67119284754</v>
      </c>
      <c r="Z41" s="313">
        <f>'Demand calc &gt;&gt;&gt;'!$I40*'Assumptions data'!$I41*'National data'!$K42*'National data'!$L42*$H41</f>
        <v>392190.69296037679</v>
      </c>
      <c r="AA41" s="197">
        <f>'Demand calc &gt;&gt;&gt;'!$I40*'Assumptions data'!$J41*'National data'!$N42*'National data'!$O42*$J41</f>
        <v>474696.41366588266</v>
      </c>
      <c r="AB41" s="313">
        <f>'Demand calc &gt;&gt;&gt;'!$J40*'Assumptions data'!$E41*'National data'!$E42*'National data'!$F42*D41</f>
        <v>33818347.375819691</v>
      </c>
      <c r="AC41" s="313">
        <f>'Demand calc &gt;&gt;&gt;'!J40*'Assumptions data'!$G41*'National data'!$H42*'National data'!$I42*$F41</f>
        <v>45928795.437700808</v>
      </c>
      <c r="AD41" s="313">
        <f>'Demand calc &gt;&gt;&gt;'!J40*'Assumptions data'!$I41*'National data'!$K42*'National data'!$L42*$H41</f>
        <v>28289851.052577868</v>
      </c>
      <c r="AE41" s="197">
        <f>'Demand calc &gt;&gt;&gt;'!J40*'Assumptions data'!$J41*'National data'!$N42*'National data'!$O42*$J41</f>
        <v>34241227.746721305</v>
      </c>
      <c r="AF41" s="313">
        <f>'Demand calc &gt;&gt;&gt;'!$K40*'Assumptions data'!$E41*'National data'!$E42*'National data'!$F42*D41</f>
        <v>27101042.212323457</v>
      </c>
      <c r="AG41" s="313">
        <f>'Demand calc &gt;&gt;&gt;'!$K40*'Assumptions data'!$G41*'National data'!$H42*'National data'!$I42*$F41</f>
        <v>36806003.856009811</v>
      </c>
      <c r="AH41" s="313">
        <f>'Demand calc &gt;&gt;&gt;'!K40*'Assumptions data'!$I41*'National data'!$K42*'National data'!$L42*$H41</f>
        <v>22670665.690318145</v>
      </c>
      <c r="AI41" s="197">
        <f>'Demand calc &gt;&gt;&gt;'!K40*'Assumptions data'!$J41*'National data'!$N42*'National data'!$O42*$J41</f>
        <v>27439926.269998077</v>
      </c>
      <c r="AJ41" s="313">
        <f>'Demand calc &gt;&gt;&gt;'!L40*'Assumptions data'!$E41*'National data'!$E42*'National data'!$F42*D41</f>
        <v>5631278.7910613725</v>
      </c>
      <c r="AK41" s="313">
        <f>'Demand calc &gt;&gt;&gt;'!L40*'Assumptions data'!$G41*'National data'!$H42*'National data'!$I42*$F41</f>
        <v>7647856.0224456266</v>
      </c>
      <c r="AL41" s="313">
        <f>'Demand calc &gt;&gt;&gt;'!L40*'Assumptions data'!$I41*'National data'!$K42*'National data'!$L42*$H41</f>
        <v>4710698.4993765</v>
      </c>
      <c r="AM41" s="197">
        <f>'Demand calc &gt;&gt;&gt;'!L40*'Assumptions data'!$J41*'National data'!$N42*'National data'!$O42*$J41</f>
        <v>5701694.9245687444</v>
      </c>
      <c r="AN41" s="313">
        <f>'Demand calc &gt;&gt;&gt;'!M40*'Assumptions data'!$E41*'National data'!$E42*'National data'!$F42*D41</f>
        <v>8633831.4395716898</v>
      </c>
      <c r="AO41" s="313">
        <f>'Demand calc &gt;&gt;&gt;'!M40*'Assumptions data'!$G41*'National data'!$H42*'National data'!$I42*$F41</f>
        <v>11725631.463446597</v>
      </c>
      <c r="AP41" s="313">
        <f>'Demand calc &gt;&gt;&gt;'!M40*'Assumptions data'!$I41*'National data'!$K42*'National data'!$L42*$H41</f>
        <v>7222405.1259579603</v>
      </c>
      <c r="AQ41" s="197">
        <f>'Demand calc &gt;&gt;&gt;'!M40*'Assumptions data'!$J41*'National data'!$N42*'National data'!$O42*$J41</f>
        <v>8741792.8902272787</v>
      </c>
      <c r="AR41" s="313">
        <f>'Demand calc &gt;&gt;&gt;'!N40*'Assumptions data'!$E41*'National data'!$E42*'National data'!$F42*D41</f>
        <v>207677.11769934732</v>
      </c>
      <c r="AS41" s="313">
        <f>'Demand calc &gt;&gt;&gt;'!N40*'Assumptions data'!$G41*'National data'!$H42*'National data'!$I42*$F41</f>
        <v>282046.89454235777</v>
      </c>
      <c r="AT41" s="313">
        <f>'Demand calc &gt;&gt;&gt;'!N40*'Assumptions data'!$I41*'National data'!$K42*'National data'!$L42*$H41</f>
        <v>173726.84304922563</v>
      </c>
      <c r="AU41" s="197">
        <f>'Demand calc &gt;&gt;&gt;'!N40*'Assumptions data'!$J41*'National data'!$N42*'National data'!$O42*$J41</f>
        <v>210274.00913181488</v>
      </c>
      <c r="AV41" s="313">
        <f>'Demand calc &gt;&gt;&gt;'!O40*'Assumptions data'!$E41*'National data'!$E42*'National data'!$F42*D41</f>
        <v>30199495.892400019</v>
      </c>
      <c r="AW41" s="313">
        <f>'Demand calc &gt;&gt;&gt;'!O40*'Assumptions data'!$G41*'National data'!$H42*'National data'!$I42*$F41</f>
        <v>41014022.765507996</v>
      </c>
      <c r="AX41" s="313">
        <f>'Demand calc &gt;&gt;&gt;'!O40*'Assumptions data'!$I41*'National data'!$K42*'National data'!$L42*$H41</f>
        <v>25262595.808268003</v>
      </c>
      <c r="AY41" s="197">
        <f>'Demand calc &gt;&gt;&gt;'!O40*'Assumptions data'!$J41*'National data'!$N42*'National data'!$O42*$J41</f>
        <v>30577124.458399992</v>
      </c>
    </row>
    <row r="42" spans="1:51">
      <c r="A42" s="9">
        <v>40</v>
      </c>
      <c r="B42" s="1" t="s">
        <v>508</v>
      </c>
      <c r="C42" s="1" t="s">
        <v>509</v>
      </c>
      <c r="D42" s="301">
        <f t="shared" si="4"/>
        <v>8.7468750000000046</v>
      </c>
      <c r="E42" s="313">
        <f>'Demand calc &gt;&gt;&gt;'!$E41*'Assumptions data'!$E42*'National data'!$E43*'National data'!$F43*D42</f>
        <v>716887217.42144489</v>
      </c>
      <c r="F42" s="301">
        <f t="shared" si="5"/>
        <v>97.47</v>
      </c>
      <c r="G42" s="313">
        <f>'Demand calc &gt;&gt;&gt;'!E41*'Assumptions data'!$G42*'National data'!$H43*'National data'!$I43*$F42</f>
        <v>973606604.57329738</v>
      </c>
      <c r="H42" s="301">
        <f t="shared" si="3"/>
        <v>45.027500000000003</v>
      </c>
      <c r="I42" s="313">
        <f>'Demand calc &gt;&gt;&gt;'!E41*'Assumptions data'!$I42*'National data'!$K43*'National data'!$L43*$H42</f>
        <v>599693189.52736449</v>
      </c>
      <c r="J42" s="323">
        <f t="shared" si="6"/>
        <v>31.142857142857142</v>
      </c>
      <c r="K42" s="197">
        <f>'Demand calc &gt;&gt;&gt;'!E41*'Assumptions data'!$J42*'National data'!$N43*'National data'!$O43*J42</f>
        <v>725851509.17198062</v>
      </c>
      <c r="L42" s="313">
        <f>'Demand calc &gt;&gt;&gt;'!$F41*'Assumptions data'!$E42*'National data'!$E43*'National data'!$F43*$D42</f>
        <v>166124337.36869502</v>
      </c>
      <c r="M42" s="313">
        <f>'Demand calc &gt;&gt;&gt;'!$F41*'Assumptions data'!$G42*'National data'!$H43*'National data'!$I43*$F42</f>
        <v>225613943.3260954</v>
      </c>
      <c r="N42" s="313">
        <f>'Demand calc &gt;&gt;&gt;'!$F41*'Assumptions data'!$I42*'National data'!$K43*'National data'!$L43*$H42</f>
        <v>138966955.07151961</v>
      </c>
      <c r="O42" s="197">
        <f>'Demand calc &gt;&gt;&gt;'!$F41*'Assumptions data'!$J42*'National data'!$N43*'National data'!$O43*$J42</f>
        <v>168201633.47727093</v>
      </c>
      <c r="P42" s="313">
        <f>'Demand calc &gt;&gt;&gt;'!$G41*'Assumptions data'!$E42*'National data'!$E43*'National data'!$F43*$D42</f>
        <v>158259759.04008016</v>
      </c>
      <c r="Q42" s="313">
        <f>'Demand calc &gt;&gt;&gt;'!$G41*'Assumptions data'!$G42*'National data'!$H43*'National data'!$I43*$F42</f>
        <v>214933036.73877364</v>
      </c>
      <c r="R42" s="313">
        <f>'Demand calc &gt;&gt;&gt;'!$G41*'Assumptions data'!$I42*'National data'!$K43*'National data'!$L43*$H42</f>
        <v>132388048.44916567</v>
      </c>
      <c r="S42" s="197">
        <f>'Demand calc &gt;&gt;&gt;'!$G41*'Assumptions data'!$J42*'National data'!$N43*'National data'!$O43*$J42</f>
        <v>160238712.79728001</v>
      </c>
      <c r="T42" s="313">
        <f>'Demand calc &gt;&gt;&gt;'!$H41*'Assumptions data'!$E42*'National data'!$E43*'National data'!$F43*$D42</f>
        <v>402403267.0404076</v>
      </c>
      <c r="U42" s="313">
        <f>'Demand calc &gt;&gt;&gt;'!$H41*'Assumptions data'!$G42*'National data'!$H43*'National data'!$I43*$F42</f>
        <v>546505041.47863936</v>
      </c>
      <c r="V42" s="313">
        <f>'Demand calc &gt;&gt;&gt;'!$H41*'Assumptions data'!$I42*'National data'!$K43*'National data'!$L43*$H42</f>
        <v>336619893.37135446</v>
      </c>
      <c r="W42" s="197">
        <f>'Demand calc &gt;&gt;&gt;'!$H41*'Assumptions data'!$J42*'National data'!$N43*'National data'!$O43*$J42</f>
        <v>407435104.96338487</v>
      </c>
      <c r="X42" s="313">
        <f>'Demand calc &gt;&gt;&gt;'!$I41*'Assumptions data'!$E42*'National data'!$E43*'National data'!$F43*$D42</f>
        <v>18079885.341349334</v>
      </c>
      <c r="Y42" s="313">
        <f>'Demand calc &gt;&gt;&gt;'!$I41*'Assumptions data'!$G42*'National data'!$H43*'National data'!$I43*$F42</f>
        <v>24554344.603298109</v>
      </c>
      <c r="Z42" s="313">
        <f>'Demand calc &gt;&gt;&gt;'!$I41*'Assumptions data'!$I42*'National data'!$K43*'National data'!$L43*$H42</f>
        <v>15124253.638726527</v>
      </c>
      <c r="AA42" s="197">
        <f>'Demand calc &gt;&gt;&gt;'!$I41*'Assumptions data'!$J42*'National data'!$N43*'National data'!$O43*$J42</f>
        <v>18305964.650726676</v>
      </c>
      <c r="AB42" s="313">
        <f>'Demand calc &gt;&gt;&gt;'!$J41*'Assumptions data'!$E42*'National data'!$E43*'National data'!$F43*D42</f>
        <v>208834542.90617871</v>
      </c>
      <c r="AC42" s="313">
        <f>'Demand calc &gt;&gt;&gt;'!J41*'Assumptions data'!$G42*'National data'!$H43*'National data'!$I43*$F42</f>
        <v>283618797.06521749</v>
      </c>
      <c r="AD42" s="313">
        <f>'Demand calc &gt;&gt;&gt;'!J41*'Assumptions data'!$I42*'National data'!$K43*'National data'!$L43*$H42</f>
        <v>174695056.7334097</v>
      </c>
      <c r="AE42" s="197">
        <f>'Demand calc &gt;&gt;&gt;'!J41*'Assumptions data'!$J42*'National data'!$N43*'National data'!$O43*$J42</f>
        <v>211445907.32265452</v>
      </c>
      <c r="AF42" s="313">
        <f>'Demand calc &gt;&gt;&gt;'!$K41*'Assumptions data'!$E42*'National data'!$E43*'National data'!$F43*D42</f>
        <v>139640060.67521697</v>
      </c>
      <c r="AG42" s="313">
        <f>'Demand calc &gt;&gt;&gt;'!$K41*'Assumptions data'!$G42*'National data'!$H43*'National data'!$I43*$F42</f>
        <v>189645570.50608152</v>
      </c>
      <c r="AH42" s="313">
        <f>'Demand calc &gt;&gt;&gt;'!K41*'Assumptions data'!$I42*'National data'!$K43*'National data'!$L43*$H42</f>
        <v>116812228.39113009</v>
      </c>
      <c r="AI42" s="197">
        <f>'Demand calc &gt;&gt;&gt;'!K41*'Assumptions data'!$J42*'National data'!$N43*'National data'!$O43*$J42</f>
        <v>141386185.04950505</v>
      </c>
      <c r="AJ42" s="313">
        <f>'Demand calc &gt;&gt;&gt;'!L41*'Assumptions data'!$E42*'National data'!$E43*'National data'!$F43*D42</f>
        <v>49090112.2089222</v>
      </c>
      <c r="AK42" s="313">
        <f>'Demand calc &gt;&gt;&gt;'!L41*'Assumptions data'!$G42*'National data'!$H43*'National data'!$I43*$F42</f>
        <v>66669423.452355176</v>
      </c>
      <c r="AL42" s="313">
        <f>'Demand calc &gt;&gt;&gt;'!L41*'Assumptions data'!$I42*'National data'!$K43*'National data'!$L43*$H42</f>
        <v>41065045.169466473</v>
      </c>
      <c r="AM42" s="197">
        <f>'Demand calc &gt;&gt;&gt;'!L41*'Assumptions data'!$J42*'National data'!$N43*'National data'!$O43*$J42</f>
        <v>49703957.842116982</v>
      </c>
      <c r="AN42" s="313">
        <f>'Demand calc &gt;&gt;&gt;'!M41*'Assumptions data'!$E42*'National data'!$E43*'National data'!$F43*D42</f>
        <v>62110541.136499189</v>
      </c>
      <c r="AO42" s="313">
        <f>'Demand calc &gt;&gt;&gt;'!M41*'Assumptions data'!$G42*'National data'!$H43*'National data'!$I43*$F42</f>
        <v>84352505.658595324</v>
      </c>
      <c r="AP42" s="313">
        <f>'Demand calc &gt;&gt;&gt;'!M41*'Assumptions data'!$I42*'National data'!$K43*'National data'!$L43*$H42</f>
        <v>51956943.313052244</v>
      </c>
      <c r="AQ42" s="197">
        <f>'Demand calc &gt;&gt;&gt;'!M41*'Assumptions data'!$J42*'National data'!$N43*'National data'!$O43*$J42</f>
        <v>62887200.278970562</v>
      </c>
      <c r="AR42" s="313">
        <f>'Demand calc &gt;&gt;&gt;'!N41*'Assumptions data'!$E42*'National data'!$E43*'National data'!$F43*D42</f>
        <v>3234309.1420731121</v>
      </c>
      <c r="AS42" s="313">
        <f>'Demand calc &gt;&gt;&gt;'!N41*'Assumptions data'!$G42*'National data'!$H43*'National data'!$I43*$F42</f>
        <v>4392524.6055865576</v>
      </c>
      <c r="AT42" s="313">
        <f>'Demand calc &gt;&gt;&gt;'!N41*'Assumptions data'!$I42*'National data'!$K43*'National data'!$L43*$H42</f>
        <v>2705576.4396299548</v>
      </c>
      <c r="AU42" s="197">
        <f>'Demand calc &gt;&gt;&gt;'!N41*'Assumptions data'!$J42*'National data'!$N43*'National data'!$O43*$J42</f>
        <v>3274752.4503877074</v>
      </c>
      <c r="AV42" s="313">
        <f>'Demand calc &gt;&gt;&gt;'!O41*'Assumptions data'!$E42*'National data'!$E43*'National data'!$F43*D42</f>
        <v>220827570.75360015</v>
      </c>
      <c r="AW42" s="313">
        <f>'Demand calc &gt;&gt;&gt;'!O41*'Assumptions data'!$G42*'National data'!$H43*'National data'!$I43*$F42</f>
        <v>299906562.89131206</v>
      </c>
      <c r="AX42" s="313">
        <f>'Demand calc &gt;&gt;&gt;'!O41*'Assumptions data'!$I42*'National data'!$K43*'National data'!$L43*$H42</f>
        <v>184727509.46395203</v>
      </c>
      <c r="AY42" s="197">
        <f>'Demand calc &gt;&gt;&gt;'!O41*'Assumptions data'!$J42*'National data'!$N43*'National data'!$O43*$J42</f>
        <v>223588901.5776</v>
      </c>
    </row>
    <row r="43" spans="1:51">
      <c r="A43" s="9">
        <v>41</v>
      </c>
      <c r="B43" s="1" t="s">
        <v>513</v>
      </c>
      <c r="C43" s="1" t="s">
        <v>514</v>
      </c>
      <c r="D43" s="301">
        <f t="shared" si="4"/>
        <v>8.7468750000000046</v>
      </c>
      <c r="E43" s="313">
        <f>'Demand calc &gt;&gt;&gt;'!$E42*'Assumptions data'!$E43*'National data'!$E44*'National data'!$F44*D43</f>
        <v>119150377.54006524</v>
      </c>
      <c r="F43" s="301">
        <f t="shared" si="5"/>
        <v>97.47</v>
      </c>
      <c r="G43" s="313">
        <f>'Demand calc &gt;&gt;&gt;'!E42*'Assumptions data'!$G43*'National data'!$H44*'National data'!$I44*$F43</f>
        <v>161818472.54532903</v>
      </c>
      <c r="H43" s="301">
        <f t="shared" si="3"/>
        <v>45.027500000000003</v>
      </c>
      <c r="I43" s="313">
        <f>'Demand calc &gt;&gt;&gt;'!E42*'Assumptions data'!$I43*'National data'!$K44*'National data'!$L44*$H43</f>
        <v>99672121.644742712</v>
      </c>
      <c r="J43" s="323">
        <f t="shared" si="6"/>
        <v>31.142857142857142</v>
      </c>
      <c r="K43" s="197">
        <f>'Demand calc &gt;&gt;&gt;'!E42*'Assumptions data'!$J43*'National data'!$N44*'National data'!$O44*J43</f>
        <v>120640289.37068406</v>
      </c>
      <c r="L43" s="313">
        <f>'Demand calc &gt;&gt;&gt;'!$F42*'Assumptions data'!$E43*'National data'!$E44*'National data'!$F44*$D43</f>
        <v>20608132.678087521</v>
      </c>
      <c r="M43" s="313">
        <f>'Demand calc &gt;&gt;&gt;'!$F42*'Assumptions data'!$G43*'National data'!$H44*'National data'!$I44*$F43</f>
        <v>27987964.627793632</v>
      </c>
      <c r="N43" s="313">
        <f>'Demand calc &gt;&gt;&gt;'!$F42*'Assumptions data'!$I43*'National data'!$K44*'National data'!$L44*$H43</f>
        <v>17239192.603234883</v>
      </c>
      <c r="O43" s="197">
        <f>'Demand calc &gt;&gt;&gt;'!$F42*'Assumptions data'!$J43*'National data'!$N44*'National data'!$O44*$J43</f>
        <v>20865826.370025009</v>
      </c>
      <c r="P43" s="313">
        <f>'Demand calc &gt;&gt;&gt;'!$G42*'Assumptions data'!$E43*'National data'!$E44*'National data'!$F44*$D43</f>
        <v>28883737.605960019</v>
      </c>
      <c r="Q43" s="313">
        <f>'Demand calc &gt;&gt;&gt;'!$G42*'Assumptions data'!$G43*'National data'!$H44*'National data'!$I44*$F43</f>
        <v>39227087.629033193</v>
      </c>
      <c r="R43" s="313">
        <f>'Demand calc &gt;&gt;&gt;'!$G42*'Assumptions data'!$I43*'National data'!$K44*'National data'!$L44*$H43</f>
        <v>24161932.741237201</v>
      </c>
      <c r="S43" s="197">
        <f>'Demand calc &gt;&gt;&gt;'!$G42*'Assumptions data'!$J43*'National data'!$N44*'National data'!$O44*$J43</f>
        <v>29244913.317359999</v>
      </c>
      <c r="T43" s="313">
        <f>'Demand calc &gt;&gt;&gt;'!$H42*'Assumptions data'!$E43*'National data'!$E44*'National data'!$F44*$D43</f>
        <v>72099884.327760711</v>
      </c>
      <c r="U43" s="313">
        <f>'Demand calc &gt;&gt;&gt;'!$H42*'Assumptions data'!$G43*'National data'!$H44*'National data'!$I44*$F43</f>
        <v>97919061.554714695</v>
      </c>
      <c r="V43" s="313">
        <f>'Demand calc &gt;&gt;&gt;'!$H42*'Assumptions data'!$I43*'National data'!$K44*'National data'!$L44*$H43</f>
        <v>60313266.2242046</v>
      </c>
      <c r="W43" s="197">
        <f>'Demand calc &gt;&gt;&gt;'!$H42*'Assumptions data'!$J43*'National data'!$N44*'National data'!$O44*$J43</f>
        <v>73001454.871337518</v>
      </c>
      <c r="X43" s="313">
        <f>'Demand calc &gt;&gt;&gt;'!$I42*'Assumptions data'!$E43*'National data'!$E44*'National data'!$F44*$D43</f>
        <v>3114405.3989700028</v>
      </c>
      <c r="Y43" s="313">
        <f>'Demand calc &gt;&gt;&gt;'!$I42*'Assumptions data'!$G43*'National data'!$H44*'National data'!$I44*$F43</f>
        <v>4229682.9850899009</v>
      </c>
      <c r="Z43" s="313">
        <f>'Demand calc &gt;&gt;&gt;'!$I42*'Assumptions data'!$I43*'National data'!$K44*'National data'!$L44*$H43</f>
        <v>2605274.1097929007</v>
      </c>
      <c r="AA43" s="197">
        <f>'Demand calc &gt;&gt;&gt;'!$I42*'Assumptions data'!$J43*'National data'!$N44*'National data'!$O44*$J43</f>
        <v>3153349.3750200006</v>
      </c>
      <c r="AB43" s="313">
        <f>'Demand calc &gt;&gt;&gt;'!$J42*'Assumptions data'!$E43*'National data'!$E44*'National data'!$F44*D43</f>
        <v>29820546.000000015</v>
      </c>
      <c r="AC43" s="313">
        <f>'Demand calc &gt;&gt;&gt;'!J42*'Assumptions data'!$G43*'National data'!$H44*'National data'!$I44*$F43</f>
        <v>40499369.819999985</v>
      </c>
      <c r="AD43" s="313">
        <f>'Demand calc &gt;&gt;&gt;'!J42*'Assumptions data'!$I43*'National data'!$K44*'National data'!$L44*$H43</f>
        <v>24945595.220000003</v>
      </c>
      <c r="AE43" s="197">
        <f>'Demand calc &gt;&gt;&gt;'!J42*'Assumptions data'!$J43*'National data'!$N44*'National data'!$O44*$J43</f>
        <v>30193435.999999993</v>
      </c>
      <c r="AF43" s="313">
        <f>'Demand calc &gt;&gt;&gt;'!$K42*'Assumptions data'!$E43*'National data'!$E44*'National data'!$F44*D43</f>
        <v>17435676.579449065</v>
      </c>
      <c r="AG43" s="313">
        <f>'Demand calc &gt;&gt;&gt;'!$K42*'Assumptions data'!$G43*'National data'!$H44*'National data'!$I44*$F43</f>
        <v>23679442.819491632</v>
      </c>
      <c r="AH43" s="313">
        <f>'Demand calc &gt;&gt;&gt;'!K42*'Assumptions data'!$I43*'National data'!$K44*'National data'!$L44*$H43</f>
        <v>14585357.703972636</v>
      </c>
      <c r="AI43" s="197">
        <f>'Demand calc &gt;&gt;&gt;'!K42*'Assumptions data'!$J43*'National data'!$N44*'National data'!$O44*$J43</f>
        <v>17653700.402343199</v>
      </c>
      <c r="AJ43" s="313">
        <f>'Demand calc &gt;&gt;&gt;'!L42*'Assumptions data'!$E43*'National data'!$E44*'National data'!$F44*D43</f>
        <v>9073538.8040915187</v>
      </c>
      <c r="AK43" s="313">
        <f>'Demand calc &gt;&gt;&gt;'!L42*'Assumptions data'!$G43*'National data'!$H44*'National data'!$I44*$F43</f>
        <v>12322799.30766602</v>
      </c>
      <c r="AL43" s="313">
        <f>'Demand calc &gt;&gt;&gt;'!L42*'Assumptions data'!$I43*'National data'!$K44*'National data'!$L44*$H43</f>
        <v>7590230.7831596974</v>
      </c>
      <c r="AM43" s="197">
        <f>'Demand calc &gt;&gt;&gt;'!L42*'Assumptions data'!$J43*'National data'!$N44*'National data'!$O44*$J43</f>
        <v>9186998.5604842249</v>
      </c>
      <c r="AN43" s="313">
        <f>'Demand calc &gt;&gt;&gt;'!M42*'Assumptions data'!$E43*'National data'!$E44*'National data'!$F44*D43</f>
        <v>10811889.300086264</v>
      </c>
      <c r="AO43" s="313">
        <f>'Demand calc &gt;&gt;&gt;'!M42*'Assumptions data'!$G43*'National data'!$H44*'National data'!$I44*$F43</f>
        <v>14683658.146872772</v>
      </c>
      <c r="AP43" s="313">
        <f>'Demand calc &gt;&gt;&gt;'!M42*'Assumptions data'!$I43*'National data'!$K44*'National data'!$L44*$H43</f>
        <v>9044402.2736337874</v>
      </c>
      <c r="AQ43" s="197">
        <f>'Demand calc &gt;&gt;&gt;'!M42*'Assumptions data'!$J43*'National data'!$N44*'National data'!$O44*$J43</f>
        <v>10947086.200944785</v>
      </c>
      <c r="AR43" s="313">
        <f>'Demand calc &gt;&gt;&gt;'!N42*'Assumptions data'!$E43*'National data'!$E44*'National data'!$F44*D43</f>
        <v>657431.30355722958</v>
      </c>
      <c r="AS43" s="313">
        <f>'Demand calc &gt;&gt;&gt;'!N42*'Assumptions data'!$G43*'National data'!$H44*'National data'!$I44*$F43</f>
        <v>892859.35589539201</v>
      </c>
      <c r="AT43" s="313">
        <f>'Demand calc &gt;&gt;&gt;'!N42*'Assumptions data'!$I43*'National data'!$K44*'National data'!$L44*$H43</f>
        <v>549956.90499750036</v>
      </c>
      <c r="AU43" s="197">
        <f>'Demand calc &gt;&gt;&gt;'!N42*'Assumptions data'!$J43*'National data'!$N44*'National data'!$O44*$J43</f>
        <v>665652.13086144603</v>
      </c>
      <c r="AV43" s="313">
        <f>'Demand calc &gt;&gt;&gt;'!O42*'Assumptions data'!$E43*'National data'!$E44*'National data'!$F44*D43</f>
        <v>23293336.77900001</v>
      </c>
      <c r="AW43" s="313">
        <f>'Demand calc &gt;&gt;&gt;'!O42*'Assumptions data'!$G43*'National data'!$H44*'National data'!$I44*$F43</f>
        <v>31634748.087929994</v>
      </c>
      <c r="AX43" s="313">
        <f>'Demand calc &gt;&gt;&gt;'!O42*'Assumptions data'!$I43*'National data'!$K44*'National data'!$L44*$H43</f>
        <v>19485429.630029999</v>
      </c>
      <c r="AY43" s="197">
        <f>'Demand calc &gt;&gt;&gt;'!O42*'Assumptions data'!$J43*'National data'!$N44*'National data'!$O44*$J43</f>
        <v>23584607.513999995</v>
      </c>
    </row>
    <row r="44" spans="1:51">
      <c r="A44" s="9">
        <v>42</v>
      </c>
      <c r="B44" s="1" t="s">
        <v>518</v>
      </c>
      <c r="C44" s="1" t="s">
        <v>519</v>
      </c>
      <c r="D44" s="301">
        <f t="shared" si="4"/>
        <v>8.7468750000000046</v>
      </c>
      <c r="E44" s="313">
        <f>'Demand calc &gt;&gt;&gt;'!$E43*'Assumptions data'!$E44*'National data'!$E45*'National data'!$F45*D44</f>
        <v>1080428600.9835007</v>
      </c>
      <c r="F44" s="301">
        <f t="shared" si="5"/>
        <v>97.47</v>
      </c>
      <c r="G44" s="313">
        <f>'Demand calc &gt;&gt;&gt;'!E43*'Assumptions data'!$G44*'National data'!$H45*'National data'!$I45*$F44</f>
        <v>1467333209.6379452</v>
      </c>
      <c r="H44" s="301">
        <f t="shared" si="3"/>
        <v>45.027500000000003</v>
      </c>
      <c r="I44" s="313">
        <f>'Demand calc &gt;&gt;&gt;'!E43*'Assumptions data'!$I44*'National data'!$K45*'National data'!$L45*$H44</f>
        <v>903804194.0695951</v>
      </c>
      <c r="J44" s="323">
        <f t="shared" si="6"/>
        <v>31.142857142857142</v>
      </c>
      <c r="K44" s="197">
        <f>'Demand calc &gt;&gt;&gt;'!E43*'Assumptions data'!$J44*'National data'!$N45*'National data'!$O45*J44</f>
        <v>1093938783.5609999</v>
      </c>
      <c r="L44" s="313">
        <f>'Demand calc &gt;&gt;&gt;'!$F43*'Assumptions data'!$E44*'National data'!$E45*'National data'!$F45*$D44</f>
        <v>223410875.56881246</v>
      </c>
      <c r="M44" s="313">
        <f>'Demand calc &gt;&gt;&gt;'!$F43*'Assumptions data'!$G44*'National data'!$H45*'National data'!$I45*$F44</f>
        <v>303414956.6366536</v>
      </c>
      <c r="N44" s="313">
        <f>'Demand calc &gt;&gt;&gt;'!$F43*'Assumptions data'!$I44*'National data'!$K45*'National data'!$L45*$H44</f>
        <v>186888505.31728628</v>
      </c>
      <c r="O44" s="197">
        <f>'Demand calc &gt;&gt;&gt;'!$F43*'Assumptions data'!$J44*'National data'!$N45*'National data'!$O45*$J44</f>
        <v>226204509.23973349</v>
      </c>
      <c r="P44" s="313">
        <f>'Demand calc &gt;&gt;&gt;'!$G43*'Assumptions data'!$E44*'National data'!$E45*'National data'!$F45*$D44</f>
        <v>180250755.3022961</v>
      </c>
      <c r="Q44" s="313">
        <f>'Demand calc &gt;&gt;&gt;'!$G43*'Assumptions data'!$G44*'National data'!$H45*'National data'!$I45*$F44</f>
        <v>244799072.40202814</v>
      </c>
      <c r="R44" s="313">
        <f>'Demand calc &gt;&gt;&gt;'!$G43*'Assumptions data'!$I44*'National data'!$K45*'National data'!$L45*$H44</f>
        <v>150784039.29526794</v>
      </c>
      <c r="S44" s="197">
        <f>'Demand calc &gt;&gt;&gt;'!$G43*'Assumptions data'!$J44*'National data'!$N45*'National data'!$O45*$J44</f>
        <v>182504694.72193885</v>
      </c>
      <c r="T44" s="313">
        <f>'Demand calc &gt;&gt;&gt;'!$H43*'Assumptions data'!$E44*'National data'!$E45*'National data'!$F45*$D44</f>
        <v>516736970.97491086</v>
      </c>
      <c r="U44" s="313">
        <f>'Demand calc &gt;&gt;&gt;'!$H43*'Assumptions data'!$G44*'National data'!$H45*'National data'!$I45*$F44</f>
        <v>701781975.66132772</v>
      </c>
      <c r="V44" s="313">
        <f>'Demand calc &gt;&gt;&gt;'!$H43*'Assumptions data'!$I44*'National data'!$K45*'National data'!$L45*$H44</f>
        <v>432262753.10817611</v>
      </c>
      <c r="W44" s="197">
        <f>'Demand calc &gt;&gt;&gt;'!$H43*'Assumptions data'!$J44*'National data'!$N45*'National data'!$O45*$J44</f>
        <v>523198490.79774779</v>
      </c>
      <c r="X44" s="313">
        <f>'Demand calc &gt;&gt;&gt;'!$I43*'Assumptions data'!$E44*'National data'!$E45*'National data'!$F45*$D44</f>
        <v>11868543.720000012</v>
      </c>
      <c r="Y44" s="313">
        <f>'Demand calc &gt;&gt;&gt;'!$I43*'Assumptions data'!$G44*'National data'!$H45*'National data'!$I45*$F44</f>
        <v>16118703.572400007</v>
      </c>
      <c r="Z44" s="313">
        <f>'Demand calc &gt;&gt;&gt;'!$I43*'Assumptions data'!$I44*'National data'!$K45*'National data'!$L45*$H44</f>
        <v>9928318.8004000038</v>
      </c>
      <c r="AA44" s="197">
        <f>'Demand calc &gt;&gt;&gt;'!$I43*'Assumptions data'!$J44*'National data'!$N45*'National data'!$O45*$J44</f>
        <v>12016953.520000005</v>
      </c>
      <c r="AB44" s="313">
        <f>'Demand calc &gt;&gt;&gt;'!$J43*'Assumptions data'!$E44*'National data'!$E45*'National data'!$F45*D44</f>
        <v>338487295.15714335</v>
      </c>
      <c r="AC44" s="313">
        <f>'Demand calc &gt;&gt;&gt;'!J43*'Assumptions data'!$G44*'National data'!$H45*'National data'!$I45*$F44</f>
        <v>459700575.09814322</v>
      </c>
      <c r="AD44" s="313">
        <f>'Demand calc &gt;&gt;&gt;'!J43*'Assumptions data'!$I44*'National data'!$K45*'National data'!$L45*$H44</f>
        <v>283152664.34433365</v>
      </c>
      <c r="AE44" s="197">
        <f>'Demand calc &gt;&gt;&gt;'!J43*'Assumptions data'!$J44*'National data'!$N45*'National data'!$O45*$J44</f>
        <v>342719897.99047643</v>
      </c>
      <c r="AF44" s="313">
        <f>'Demand calc &gt;&gt;&gt;'!$K43*'Assumptions data'!$E44*'National data'!$E45*'National data'!$F45*D44</f>
        <v>203245132.93731824</v>
      </c>
      <c r="AG44" s="313">
        <f>'Demand calc &gt;&gt;&gt;'!$K43*'Assumptions data'!$G44*'National data'!$H45*'National data'!$I45*$F44</f>
        <v>276027803.21136671</v>
      </c>
      <c r="AH44" s="313">
        <f>'Demand calc &gt;&gt;&gt;'!K43*'Assumptions data'!$I44*'National data'!$K45*'National data'!$L45*$H44</f>
        <v>170019382.49854407</v>
      </c>
      <c r="AI44" s="197">
        <f>'Demand calc &gt;&gt;&gt;'!K43*'Assumptions data'!$J44*'National data'!$N45*'National data'!$O45*$J44</f>
        <v>205786604.76754537</v>
      </c>
      <c r="AJ44" s="313">
        <f>'Demand calc &gt;&gt;&gt;'!L43*'Assumptions data'!$E44*'National data'!$E45*'National data'!$F45*D44</f>
        <v>94606470.461511537</v>
      </c>
      <c r="AK44" s="313">
        <f>'Demand calc &gt;&gt;&gt;'!L43*'Assumptions data'!$G44*'National data'!$H45*'National data'!$I45*$F44</f>
        <v>128485321.31456143</v>
      </c>
      <c r="AL44" s="313">
        <f>'Demand calc &gt;&gt;&gt;'!L43*'Assumptions data'!$I44*'National data'!$K45*'National data'!$L45*$H44</f>
        <v>79140560.247480109</v>
      </c>
      <c r="AM44" s="197">
        <f>'Demand calc &gt;&gt;&gt;'!L43*'Assumptions data'!$J44*'National data'!$N45*'National data'!$O45*$J44</f>
        <v>95789473.843488216</v>
      </c>
      <c r="AN44" s="313">
        <f>'Demand calc &gt;&gt;&gt;'!M43*'Assumptions data'!$E44*'National data'!$E45*'National data'!$F45*D44</f>
        <v>79192079.514551923</v>
      </c>
      <c r="AO44" s="313">
        <f>'Demand calc &gt;&gt;&gt;'!M43*'Assumptions data'!$G44*'National data'!$H45*'National data'!$I45*$F44</f>
        <v>107550992.36193335</v>
      </c>
      <c r="AP44" s="313">
        <f>'Demand calc &gt;&gt;&gt;'!M43*'Assumptions data'!$I44*'National data'!$K45*'National data'!$L45*$H44</f>
        <v>66246055.997769646</v>
      </c>
      <c r="AQ44" s="197">
        <f>'Demand calc &gt;&gt;&gt;'!M43*'Assumptions data'!$J44*'National data'!$N45*'National data'!$O45*$J44</f>
        <v>80182334.170861036</v>
      </c>
      <c r="AR44" s="313">
        <f>'Demand calc &gt;&gt;&gt;'!N43*'Assumptions data'!$E44*'National data'!$E45*'National data'!$F45*D44</f>
        <v>3112668.1298197052</v>
      </c>
      <c r="AS44" s="313">
        <f>'Demand calc &gt;&gt;&gt;'!N43*'Assumptions data'!$G44*'National data'!$H45*'National data'!$I45*$F44</f>
        <v>4227323.594829415</v>
      </c>
      <c r="AT44" s="313">
        <f>'Demand calc &gt;&gt;&gt;'!N43*'Assumptions data'!$I44*'National data'!$K45*'National data'!$L45*$H44</f>
        <v>2603820.8428737936</v>
      </c>
      <c r="AU44" s="197">
        <f>'Demand calc &gt;&gt;&gt;'!N43*'Assumptions data'!$J44*'National data'!$N45*'National data'!$O45*$J44</f>
        <v>3151590.3822468873</v>
      </c>
      <c r="AV44" s="313">
        <f>'Demand calc &gt;&gt;&gt;'!O43*'Assumptions data'!$E44*'National data'!$E45*'National data'!$F45*D44</f>
        <v>236696525.32500014</v>
      </c>
      <c r="AW44" s="313">
        <f>'Demand calc &gt;&gt;&gt;'!O43*'Assumptions data'!$G44*'National data'!$H45*'National data'!$I45*$F44</f>
        <v>321458236.01774997</v>
      </c>
      <c r="AX44" s="313">
        <f>'Demand calc &gt;&gt;&gt;'!O43*'Assumptions data'!$I44*'National data'!$K45*'National data'!$L45*$H44</f>
        <v>198002266.98525003</v>
      </c>
      <c r="AY44" s="197">
        <f>'Demand calc &gt;&gt;&gt;'!O43*'Assumptions data'!$J44*'National data'!$N45*'National data'!$O45*$J44</f>
        <v>239656288.94999999</v>
      </c>
    </row>
    <row r="45" spans="1:51">
      <c r="A45" s="9">
        <v>43</v>
      </c>
      <c r="B45" s="1" t="s">
        <v>523</v>
      </c>
      <c r="C45" s="1" t="s">
        <v>524</v>
      </c>
      <c r="D45" s="301">
        <f t="shared" si="4"/>
        <v>8.7468750000000046</v>
      </c>
      <c r="E45" s="313">
        <f>'Demand calc &gt;&gt;&gt;'!$E44*'Assumptions data'!$E45*'National data'!$E46*'National data'!$F46*D45</f>
        <v>4210325332.5774179</v>
      </c>
      <c r="F45" s="301">
        <f t="shared" si="5"/>
        <v>97.47</v>
      </c>
      <c r="G45" s="313">
        <f>'Demand calc &gt;&gt;&gt;'!E44*'Assumptions data'!$G45*'National data'!$H46*'National data'!$I46*$F45</f>
        <v>5718055018.3946075</v>
      </c>
      <c r="H45" s="301">
        <f t="shared" si="3"/>
        <v>45.027500000000003</v>
      </c>
      <c r="I45" s="313">
        <f>'Demand calc &gt;&gt;&gt;'!E44*'Assumptions data'!$I45*'National data'!$K46*'National data'!$L46*$H45</f>
        <v>3522037171.652997</v>
      </c>
      <c r="J45" s="323">
        <f t="shared" si="6"/>
        <v>31.142857142857142</v>
      </c>
      <c r="K45" s="197">
        <f>'Demand calc &gt;&gt;&gt;'!E44*'Assumptions data'!$J45*'National data'!$N46*'National data'!$O46*J45</f>
        <v>4262973202.045157</v>
      </c>
      <c r="L45" s="313">
        <f>'Demand calc &gt;&gt;&gt;'!$F44*'Assumptions data'!$E45*'National data'!$E46*'National data'!$F46*$D45</f>
        <v>754743073.14917803</v>
      </c>
      <c r="M45" s="313">
        <f>'Demand calc &gt;&gt;&gt;'!$F44*'Assumptions data'!$G45*'National data'!$H46*'National data'!$I46*$F45</f>
        <v>1025018751.7878397</v>
      </c>
      <c r="N45" s="313">
        <f>'Demand calc &gt;&gt;&gt;'!$F44*'Assumptions data'!$I45*'National data'!$K46*'National data'!$L46*$H45</f>
        <v>631360512.24140024</v>
      </c>
      <c r="O45" s="197">
        <f>'Demand calc &gt;&gt;&gt;'!$F44*'Assumptions data'!$J45*'National data'!$N46*'National data'!$O46*$J45</f>
        <v>764180732.15604472</v>
      </c>
      <c r="P45" s="313">
        <f>'Demand calc &gt;&gt;&gt;'!$G44*'Assumptions data'!$E45*'National data'!$E46*'National data'!$F46*$D45</f>
        <v>609666997.83844662</v>
      </c>
      <c r="Q45" s="313">
        <f>'Demand calc &gt;&gt;&gt;'!$G44*'Assumptions data'!$G45*'National data'!$H46*'National data'!$I46*$F45</f>
        <v>827990514.07403386</v>
      </c>
      <c r="R45" s="313">
        <f>'Demand calc &gt;&gt;&gt;'!$G44*'Assumptions data'!$I45*'National data'!$K46*'National data'!$L46*$H45</f>
        <v>510000928.45618922</v>
      </c>
      <c r="S45" s="197">
        <f>'Demand calc &gt;&gt;&gt;'!$G44*'Assumptions data'!$J45*'National data'!$N46*'National data'!$O46*$J45</f>
        <v>617290558.01148868</v>
      </c>
      <c r="T45" s="313">
        <f>'Demand calc &gt;&gt;&gt;'!$H44*'Assumptions data'!$E45*'National data'!$E46*'National data'!$F46*$D45</f>
        <v>2384656503.0116711</v>
      </c>
      <c r="U45" s="313">
        <f>'Demand calc &gt;&gt;&gt;'!$H44*'Assumptions data'!$G45*'National data'!$H46*'National data'!$I46*$F45</f>
        <v>3238608897.6753659</v>
      </c>
      <c r="V45" s="313">
        <f>'Demand calc &gt;&gt;&gt;'!$H44*'Assumptions data'!$I45*'National data'!$K46*'National data'!$L46*$H45</f>
        <v>1994821820.5954323</v>
      </c>
      <c r="W45" s="197">
        <f>'Demand calc &gt;&gt;&gt;'!$H44*'Assumptions data'!$J45*'National data'!$N46*'National data'!$O46*$J45</f>
        <v>2414475358.8907008</v>
      </c>
      <c r="X45" s="313">
        <f>'Demand calc &gt;&gt;&gt;'!$I44*'Assumptions data'!$E45*'National data'!$E46*'National data'!$F46*$D45</f>
        <v>78700388.054561362</v>
      </c>
      <c r="Y45" s="313">
        <f>'Demand calc &gt;&gt;&gt;'!$I44*'Assumptions data'!$G45*'National data'!$H46*'National data'!$I46*$F45</f>
        <v>106883224.76721886</v>
      </c>
      <c r="Z45" s="313">
        <f>'Demand calc &gt;&gt;&gt;'!$I44*'Assumptions data'!$I45*'National data'!$K46*'National data'!$L46*$H45</f>
        <v>65834744.40964327</v>
      </c>
      <c r="AA45" s="197">
        <f>'Demand calc &gt;&gt;&gt;'!$I44*'Assumptions data'!$J45*'National data'!$N46*'National data'!$O46*$J45</f>
        <v>79684494.371785194</v>
      </c>
      <c r="AB45" s="313">
        <f>'Demand calc &gt;&gt;&gt;'!$J44*'Assumptions data'!$E45*'National data'!$E46*'National data'!$F46*D45</f>
        <v>1156315879.6144347</v>
      </c>
      <c r="AC45" s="313">
        <f>'Demand calc &gt;&gt;&gt;'!J44*'Assumptions data'!$G45*'National data'!$H46*'National data'!$I46*$F45</f>
        <v>1570395942.3561044</v>
      </c>
      <c r="AD45" s="313">
        <f>'Demand calc &gt;&gt;&gt;'!J44*'Assumptions data'!$I45*'National data'!$K46*'National data'!$L46*$H45</f>
        <v>967285705.61115563</v>
      </c>
      <c r="AE45" s="197">
        <f>'Demand calc &gt;&gt;&gt;'!J44*'Assumptions data'!$J45*'National data'!$N46*'National data'!$O46*$J45</f>
        <v>1170774992.0783515</v>
      </c>
      <c r="AF45" s="313">
        <f>'Demand calc &gt;&gt;&gt;'!$K44*'Assumptions data'!$E45*'National data'!$E46*'National data'!$F46*D45</f>
        <v>632528654.62584114</v>
      </c>
      <c r="AG45" s="313">
        <f>'Demand calc &gt;&gt;&gt;'!$K44*'Assumptions data'!$G45*'National data'!$H46*'National data'!$I46*$F45</f>
        <v>859038996.31612992</v>
      </c>
      <c r="AH45" s="313">
        <f>'Demand calc &gt;&gt;&gt;'!K44*'Assumptions data'!$I45*'National data'!$K46*'National data'!$L46*$H45</f>
        <v>529125247.5171786</v>
      </c>
      <c r="AI45" s="197">
        <f>'Demand calc &gt;&gt;&gt;'!K44*'Assumptions data'!$J45*'National data'!$N46*'National data'!$O46*$J45</f>
        <v>640438087.60615683</v>
      </c>
      <c r="AJ45" s="313">
        <f>'Demand calc &gt;&gt;&gt;'!L44*'Assumptions data'!$E45*'National data'!$E46*'National data'!$F46*D45</f>
        <v>205371159.1970529</v>
      </c>
      <c r="AK45" s="313">
        <f>'Demand calc &gt;&gt;&gt;'!L44*'Assumptions data'!$G45*'National data'!$H46*'National data'!$I46*$F45</f>
        <v>278915165.62719995</v>
      </c>
      <c r="AL45" s="313">
        <f>'Demand calc &gt;&gt;&gt;'!L44*'Assumptions data'!$I45*'National data'!$K46*'National data'!$L46*$H45</f>
        <v>171797853.97597545</v>
      </c>
      <c r="AM45" s="197">
        <f>'Demand calc &gt;&gt;&gt;'!L44*'Assumptions data'!$J45*'National data'!$N46*'National data'!$O46*$J45</f>
        <v>207939215.8501063</v>
      </c>
      <c r="AN45" s="313">
        <f>'Demand calc &gt;&gt;&gt;'!M44*'Assumptions data'!$E45*'National data'!$E46*'National data'!$F46*D45</f>
        <v>328285801.64035439</v>
      </c>
      <c r="AO45" s="313">
        <f>'Demand calc &gt;&gt;&gt;'!M44*'Assumptions data'!$G45*'National data'!$H46*'National data'!$I46*$F45</f>
        <v>445845897.23098516</v>
      </c>
      <c r="AP45" s="313">
        <f>'Demand calc &gt;&gt;&gt;'!M44*'Assumptions data'!$I45*'National data'!$K46*'National data'!$L46*$H45</f>
        <v>274618872.64550722</v>
      </c>
      <c r="AQ45" s="197">
        <f>'Demand calc &gt;&gt;&gt;'!M44*'Assumptions data'!$J45*'National data'!$N46*'National data'!$O46*$J45</f>
        <v>332390840.24607491</v>
      </c>
      <c r="AR45" s="313">
        <f>'Demand calc &gt;&gt;&gt;'!N44*'Assumptions data'!$E45*'National data'!$E46*'National data'!$F46*D45</f>
        <v>13316951.994856264</v>
      </c>
      <c r="AS45" s="313">
        <f>'Demand calc &gt;&gt;&gt;'!N44*'Assumptions data'!$G45*'National data'!$H46*'National data'!$I46*$F45</f>
        <v>18085791.042017478</v>
      </c>
      <c r="AT45" s="313">
        <f>'Demand calc &gt;&gt;&gt;'!N44*'Assumptions data'!$I45*'National data'!$K46*'National data'!$L46*$H45</f>
        <v>11139946.734303784</v>
      </c>
      <c r="AU45" s="197">
        <f>'Demand calc &gt;&gt;&gt;'!N44*'Assumptions data'!$J45*'National data'!$N46*'National data'!$O46*$J45</f>
        <v>13483473.366710478</v>
      </c>
      <c r="AV45" s="313">
        <f>'Demand calc &gt;&gt;&gt;'!O44*'Assumptions data'!$E45*'National data'!$E46*'National data'!$F46*D45</f>
        <v>1480153307.8761005</v>
      </c>
      <c r="AW45" s="313">
        <f>'Demand calc &gt;&gt;&gt;'!O44*'Assumptions data'!$G45*'National data'!$H46*'National data'!$I46*$F45</f>
        <v>2010200490.8283868</v>
      </c>
      <c r="AX45" s="313">
        <f>'Demand calc &gt;&gt;&gt;'!O44*'Assumptions data'!$I45*'National data'!$K46*'National data'!$L46*$H45</f>
        <v>1238183408.2387769</v>
      </c>
      <c r="AY45" s="197">
        <f>'Demand calc &gt;&gt;&gt;'!O44*'Assumptions data'!$J45*'National data'!$N46*'National data'!$O46*$J45</f>
        <v>1498661834.4125996</v>
      </c>
    </row>
    <row r="46" spans="1:51">
      <c r="A46" s="9">
        <v>44</v>
      </c>
      <c r="B46" s="1" t="s">
        <v>528</v>
      </c>
      <c r="C46" s="1" t="s">
        <v>529</v>
      </c>
      <c r="D46" s="301">
        <f t="shared" si="4"/>
        <v>8.7468750000000046</v>
      </c>
      <c r="E46" s="313">
        <f>'Demand calc &gt;&gt;&gt;'!$E45*'Assumptions data'!$E46*'National data'!$E47*'National data'!$F47*D46</f>
        <v>495962577.77756655</v>
      </c>
      <c r="F46" s="301">
        <f t="shared" si="5"/>
        <v>97.47</v>
      </c>
      <c r="G46" s="313">
        <f>'Demand calc &gt;&gt;&gt;'!E45*'Assumptions data'!$G46*'National data'!$H47*'National data'!$I47*$F46</f>
        <v>673568212.14119184</v>
      </c>
      <c r="H46" s="301">
        <f t="shared" si="3"/>
        <v>45.027500000000003</v>
      </c>
      <c r="I46" s="313">
        <f>'Demand calc &gt;&gt;&gt;'!E45*'Assumptions data'!$I46*'National data'!$K47*'National data'!$L47*$H46</f>
        <v>414884479.63048488</v>
      </c>
      <c r="J46" s="323">
        <f t="shared" si="6"/>
        <v>31.142857142857142</v>
      </c>
      <c r="K46" s="197">
        <f>'Demand calc &gt;&gt;&gt;'!E45*'Assumptions data'!$J46*'National data'!$N47*'National data'!$O47*J46</f>
        <v>502164324.9094758</v>
      </c>
      <c r="L46" s="313">
        <f>'Demand calc &gt;&gt;&gt;'!$F45*'Assumptions data'!$E46*'National data'!$E47*'National data'!$F47*$D46</f>
        <v>66743293.502337687</v>
      </c>
      <c r="M46" s="313">
        <f>'Demand calc &gt;&gt;&gt;'!$F45*'Assumptions data'!$G46*'National data'!$H47*'National data'!$I47*$F46</f>
        <v>90644260.053319439</v>
      </c>
      <c r="N46" s="313">
        <f>'Demand calc &gt;&gt;&gt;'!$F45*'Assumptions data'!$I46*'National data'!$K47*'National data'!$L47*$H46</f>
        <v>55832350.734254539</v>
      </c>
      <c r="O46" s="197">
        <f>'Demand calc &gt;&gt;&gt;'!$F45*'Assumptions data'!$J46*'National data'!$N47*'National data'!$O47*$J46</f>
        <v>67577882.738701284</v>
      </c>
      <c r="P46" s="313">
        <f>'Demand calc &gt;&gt;&gt;'!$G45*'Assumptions data'!$E46*'National data'!$E47*'National data'!$F47*$D46</f>
        <v>58867978.634805195</v>
      </c>
      <c r="Q46" s="313">
        <f>'Demand calc &gt;&gt;&gt;'!$G45*'Assumptions data'!$G46*'National data'!$H47*'National data'!$I47*$F46</f>
        <v>79948772.141423315</v>
      </c>
      <c r="R46" s="313">
        <f>'Demand calc &gt;&gt;&gt;'!$G45*'Assumptions data'!$I46*'National data'!$K47*'National data'!$L47*$H46</f>
        <v>49244462.742012091</v>
      </c>
      <c r="S46" s="197">
        <f>'Demand calc &gt;&gt;&gt;'!$G45*'Assumptions data'!$J46*'National data'!$N47*'National data'!$O47*$J46</f>
        <v>59604091.265108176</v>
      </c>
      <c r="T46" s="313">
        <f>'Demand calc &gt;&gt;&gt;'!$H45*'Assumptions data'!$E46*'National data'!$E47*'National data'!$F47*$D46</f>
        <v>345736452.2164402</v>
      </c>
      <c r="U46" s="313">
        <f>'Demand calc &gt;&gt;&gt;'!$H45*'Assumptions data'!$G46*'National data'!$H47*'National data'!$I47*$F46</f>
        <v>469545676.27864242</v>
      </c>
      <c r="V46" s="313">
        <f>'Demand calc &gt;&gt;&gt;'!$H45*'Assumptions data'!$I46*'National data'!$K47*'National data'!$L47*$H46</f>
        <v>289216756.45342594</v>
      </c>
      <c r="W46" s="197">
        <f>'Demand calc &gt;&gt;&gt;'!$H45*'Assumptions data'!$J46*'National data'!$N47*'National data'!$O47*$J46</f>
        <v>350059701.88688499</v>
      </c>
      <c r="X46" s="313">
        <f>'Demand calc &gt;&gt;&gt;'!$I45*'Assumptions data'!$E46*'National data'!$E47*'National data'!$F47*$D46</f>
        <v>5688265.5310559236</v>
      </c>
      <c r="Y46" s="313">
        <f>'Demand calc &gt;&gt;&gt;'!$I45*'Assumptions data'!$G46*'National data'!$H47*'National data'!$I47*$F46</f>
        <v>7725249.8789456254</v>
      </c>
      <c r="Z46" s="313">
        <f>'Demand calc &gt;&gt;&gt;'!$I45*'Assumptions data'!$I46*'National data'!$K47*'National data'!$L47*$H46</f>
        <v>4758369.2613005601</v>
      </c>
      <c r="AA46" s="197">
        <f>'Demand calc &gt;&gt;&gt;'!$I45*'Assumptions data'!$J46*'National data'!$N47*'National data'!$O47*$J46</f>
        <v>5759394.2533092098</v>
      </c>
      <c r="AB46" s="313">
        <f>'Demand calc &gt;&gt;&gt;'!$J45*'Assumptions data'!$E46*'National data'!$E47*'National data'!$F47*D46</f>
        <v>96807697.426059753</v>
      </c>
      <c r="AC46" s="313">
        <f>'Demand calc &gt;&gt;&gt;'!J45*'Assumptions data'!$G46*'National data'!$H47*'National data'!$I47*$F46</f>
        <v>131474814.02522455</v>
      </c>
      <c r="AD46" s="313">
        <f>'Demand calc &gt;&gt;&gt;'!J45*'Assumptions data'!$I46*'National data'!$K47*'National data'!$L47*$H46</f>
        <v>80981938.90114291</v>
      </c>
      <c r="AE46" s="197">
        <f>'Demand calc &gt;&gt;&gt;'!J45*'Assumptions data'!$J46*'National data'!$N47*'National data'!$O47*$J46</f>
        <v>98018225.97551024</v>
      </c>
      <c r="AF46" s="313">
        <f>'Demand calc &gt;&gt;&gt;'!$K45*'Assumptions data'!$E46*'National data'!$E47*'National data'!$F47*D46</f>
        <v>51708992.251307346</v>
      </c>
      <c r="AG46" s="313">
        <f>'Demand calc &gt;&gt;&gt;'!$K45*'Assumptions data'!$G46*'National data'!$H47*'National data'!$I47*$F46</f>
        <v>70226132.016670972</v>
      </c>
      <c r="AH46" s="313">
        <f>'Demand calc &gt;&gt;&gt;'!K45*'Assumptions data'!$I46*'National data'!$K47*'National data'!$L47*$H46</f>
        <v>43255800.545544304</v>
      </c>
      <c r="AI46" s="197">
        <f>'Demand calc &gt;&gt;&gt;'!K45*'Assumptions data'!$J46*'National data'!$N47*'National data'!$O47*$J46</f>
        <v>52355585.580637708</v>
      </c>
      <c r="AJ46" s="313">
        <f>'Demand calc &gt;&gt;&gt;'!L45*'Assumptions data'!$E46*'National data'!$E47*'National data'!$F47*D46</f>
        <v>15911291.949035296</v>
      </c>
      <c r="AK46" s="313">
        <f>'Demand calc &gt;&gt;&gt;'!L45*'Assumptions data'!$G46*'National data'!$H47*'National data'!$I47*$F46</f>
        <v>21609171.641524222</v>
      </c>
      <c r="AL46" s="313">
        <f>'Demand calc &gt;&gt;&gt;'!L45*'Assumptions data'!$I46*'National data'!$K47*'National data'!$L47*$H46</f>
        <v>13310173.743561879</v>
      </c>
      <c r="AM46" s="197">
        <f>'Demand calc &gt;&gt;&gt;'!L45*'Assumptions data'!$J46*'National data'!$N47*'National data'!$O47*$J46</f>
        <v>16110254.156329403</v>
      </c>
      <c r="AN46" s="313">
        <f>'Demand calc &gt;&gt;&gt;'!M45*'Assumptions data'!$E46*'National data'!$E47*'National data'!$F47*D46</f>
        <v>43725248.129319236</v>
      </c>
      <c r="AO46" s="313">
        <f>'Demand calc &gt;&gt;&gt;'!M45*'Assumptions data'!$G46*'National data'!$H47*'National data'!$I47*$F46</f>
        <v>59383386.020516254</v>
      </c>
      <c r="AP46" s="313">
        <f>'Demand calc &gt;&gt;&gt;'!M45*'Assumptions data'!$I46*'National data'!$K47*'National data'!$L47*$H46</f>
        <v>36577208.905834898</v>
      </c>
      <c r="AQ46" s="197">
        <f>'Demand calc &gt;&gt;&gt;'!M45*'Assumptions data'!$J46*'National data'!$N47*'National data'!$O47*$J46</f>
        <v>44272009.002676181</v>
      </c>
      <c r="AR46" s="313">
        <f>'Demand calc &gt;&gt;&gt;'!N45*'Assumptions data'!$E46*'National data'!$E47*'National data'!$F47*D46</f>
        <v>862639.46778053918</v>
      </c>
      <c r="AS46" s="313">
        <f>'Demand calc &gt;&gt;&gt;'!N45*'Assumptions data'!$G46*'National data'!$H47*'National data'!$I47*$F46</f>
        <v>1171553.1575770616</v>
      </c>
      <c r="AT46" s="313">
        <f>'Demand calc &gt;&gt;&gt;'!N45*'Assumptions data'!$I46*'National data'!$K47*'National data'!$L47*$H46</f>
        <v>721618.40980542591</v>
      </c>
      <c r="AU46" s="197">
        <f>'Demand calc &gt;&gt;&gt;'!N45*'Assumptions data'!$J46*'National data'!$N47*'National data'!$O47*$J46</f>
        <v>873426.31357272109</v>
      </c>
      <c r="AV46" s="313">
        <f>'Demand calc &gt;&gt;&gt;'!O45*'Assumptions data'!$E46*'National data'!$E47*'National data'!$F47*D46</f>
        <v>115718030.88660008</v>
      </c>
      <c r="AW46" s="313">
        <f>'Demand calc &gt;&gt;&gt;'!O45*'Assumptions data'!$G46*'National data'!$H47*'National data'!$I47*$F46</f>
        <v>157156992.62242198</v>
      </c>
      <c r="AX46" s="313">
        <f>'Demand calc &gt;&gt;&gt;'!O45*'Assumptions data'!$I46*'National data'!$K47*'National data'!$L47*$H46</f>
        <v>96800882.121762022</v>
      </c>
      <c r="AY46" s="197">
        <f>'Demand calc &gt;&gt;&gt;'!O45*'Assumptions data'!$J46*'National data'!$N47*'National data'!$O47*$J46</f>
        <v>117165023.05559999</v>
      </c>
    </row>
    <row r="47" spans="1:51">
      <c r="A47" s="9">
        <v>45</v>
      </c>
      <c r="B47" s="1" t="s">
        <v>533</v>
      </c>
      <c r="C47" s="1" t="s">
        <v>534</v>
      </c>
      <c r="D47" s="301">
        <f t="shared" si="4"/>
        <v>8.7468750000000046</v>
      </c>
      <c r="E47" s="313">
        <f>'Demand calc &gt;&gt;&gt;'!$E46*'Assumptions data'!$E47*'National data'!$E48*'National data'!$F48*D47</f>
        <v>93254483.295412838</v>
      </c>
      <c r="F47" s="301">
        <f t="shared" si="5"/>
        <v>97.47</v>
      </c>
      <c r="G47" s="313">
        <f>'Demand calc &gt;&gt;&gt;'!E46*'Assumptions data'!$G47*'National data'!$H48*'National data'!$I48*$F47</f>
        <v>126649183.63177975</v>
      </c>
      <c r="H47" s="301">
        <f t="shared" si="3"/>
        <v>45.027500000000003</v>
      </c>
      <c r="I47" s="313">
        <f>'Demand calc &gt;&gt;&gt;'!E46*'Assumptions data'!$I47*'National data'!$K48*'National data'!$L48*$H47</f>
        <v>78009590.861871511</v>
      </c>
      <c r="J47" s="323">
        <f t="shared" si="6"/>
        <v>31.142857142857142</v>
      </c>
      <c r="K47" s="197">
        <f>'Demand calc &gt;&gt;&gt;'!E46*'Assumptions data'!$J47*'National data'!$N48*'National data'!$O48*J47</f>
        <v>94420580.799999937</v>
      </c>
      <c r="L47" s="313">
        <f>'Demand calc &gt;&gt;&gt;'!$F46*'Assumptions data'!$E47*'National data'!$E48*'National data'!$F48*$D47</f>
        <v>25719770.860794649</v>
      </c>
      <c r="M47" s="313">
        <f>'Demand calc &gt;&gt;&gt;'!$F46*'Assumptions data'!$G47*'National data'!$H48*'National data'!$I48*$F47</f>
        <v>34930095.236250259</v>
      </c>
      <c r="N47" s="313">
        <f>'Demand calc &gt;&gt;&gt;'!$F46*'Assumptions data'!$I47*'National data'!$K48*'National data'!$L48*$H47</f>
        <v>21515199.387849368</v>
      </c>
      <c r="O47" s="197">
        <f>'Demand calc &gt;&gt;&gt;'!$F46*'Assumptions data'!$J47*'National data'!$N48*'National data'!$O48*$J47</f>
        <v>26041382.857982133</v>
      </c>
      <c r="P47" s="313">
        <f>'Demand calc &gt;&gt;&gt;'!$G46*'Assumptions data'!$E47*'National data'!$E48*'National data'!$F48*$D47</f>
        <v>27058248.033363391</v>
      </c>
      <c r="Q47" s="313">
        <f>'Demand calc &gt;&gt;&gt;'!$G46*'Assumptions data'!$G47*'National data'!$H48*'National data'!$I48*$F47</f>
        <v>36747884.95772247</v>
      </c>
      <c r="R47" s="313">
        <f>'Demand calc &gt;&gt;&gt;'!$G46*'Assumptions data'!$I47*'National data'!$K48*'National data'!$L48*$H47</f>
        <v>22634867.34289318</v>
      </c>
      <c r="S47" s="197">
        <f>'Demand calc &gt;&gt;&gt;'!$G46*'Assumptions data'!$J47*'National data'!$N48*'National data'!$O48*$J47</f>
        <v>27396596.972687315</v>
      </c>
      <c r="T47" s="313">
        <f>'Demand calc &gt;&gt;&gt;'!$H46*'Assumptions data'!$E47*'National data'!$E48*'National data'!$F48*$D47</f>
        <v>49174713.577596962</v>
      </c>
      <c r="U47" s="313">
        <f>'Demand calc &gt;&gt;&gt;'!$H46*'Assumptions data'!$G47*'National data'!$H48*'National data'!$I48*$F47</f>
        <v>66784320.815979488</v>
      </c>
      <c r="V47" s="313">
        <f>'Demand calc &gt;&gt;&gt;'!$H46*'Assumptions data'!$I47*'National data'!$K48*'National data'!$L48*$H47</f>
        <v>41135816.224363275</v>
      </c>
      <c r="W47" s="197">
        <f>'Demand calc &gt;&gt;&gt;'!$H46*'Assumptions data'!$J47*'National data'!$N48*'National data'!$O48*$J47</f>
        <v>49789617.105719797</v>
      </c>
      <c r="X47" s="313">
        <f>'Demand calc &gt;&gt;&gt;'!$I46*'Assumptions data'!$E47*'National data'!$E48*'National data'!$F48*$D47</f>
        <v>317061.80080930208</v>
      </c>
      <c r="Y47" s="313">
        <f>'Demand calc &gt;&gt;&gt;'!$I46*'Assumptions data'!$G47*'National data'!$H48*'National data'!$I48*$F47</f>
        <v>430602.54922130174</v>
      </c>
      <c r="Z47" s="313">
        <f>'Demand calc &gt;&gt;&gt;'!$I46*'Assumptions data'!$I47*'National data'!$K48*'National data'!$L48*$H47</f>
        <v>265229.72928507463</v>
      </c>
      <c r="AA47" s="197">
        <f>'Demand calc &gt;&gt;&gt;'!$I46*'Assumptions data'!$J47*'National data'!$N48*'National data'!$O48*$J47</f>
        <v>321026.48927958612</v>
      </c>
      <c r="AB47" s="313">
        <f>'Demand calc &gt;&gt;&gt;'!$J46*'Assumptions data'!$E47*'National data'!$E48*'National data'!$F48*D47</f>
        <v>24154445.481818188</v>
      </c>
      <c r="AC47" s="313">
        <f>'Demand calc &gt;&gt;&gt;'!J46*'Assumptions data'!$G47*'National data'!$H48*'National data'!$I48*$F47</f>
        <v>32804222.309181809</v>
      </c>
      <c r="AD47" s="313">
        <f>'Demand calc &gt;&gt;&gt;'!J46*'Assumptions data'!$I47*'National data'!$K48*'National data'!$L48*$H47</f>
        <v>20205767.518575754</v>
      </c>
      <c r="AE47" s="197">
        <f>'Demand calc &gt;&gt;&gt;'!J46*'Assumptions data'!$J47*'National data'!$N48*'National data'!$O48*$J47</f>
        <v>24456483.921212111</v>
      </c>
      <c r="AF47" s="313">
        <f>'Demand calc &gt;&gt;&gt;'!$K46*'Assumptions data'!$E47*'National data'!$E48*'National data'!$F48*D47</f>
        <v>20464369.906099614</v>
      </c>
      <c r="AG47" s="313">
        <f>'Demand calc &gt;&gt;&gt;'!$K46*'Assumptions data'!$G47*'National data'!$H48*'National data'!$I48*$F47</f>
        <v>27792719.991123114</v>
      </c>
      <c r="AH47" s="313">
        <f>'Demand calc &gt;&gt;&gt;'!K46*'Assumptions data'!$I47*'National data'!$K48*'National data'!$L48*$H47</f>
        <v>17118931.628881309</v>
      </c>
      <c r="AI47" s="197">
        <f>'Demand calc &gt;&gt;&gt;'!K46*'Assumptions data'!$J47*'National data'!$N48*'National data'!$O48*$J47</f>
        <v>20720265.921359867</v>
      </c>
      <c r="AJ47" s="313">
        <f>'Demand calc &gt;&gt;&gt;'!L46*'Assumptions data'!$E47*'National data'!$E48*'National data'!$F48*D47</f>
        <v>5491670.8229768891</v>
      </c>
      <c r="AK47" s="313">
        <f>'Demand calc &gt;&gt;&gt;'!L46*'Assumptions data'!$G47*'National data'!$H48*'National data'!$I48*$F47</f>
        <v>7458254.0369798951</v>
      </c>
      <c r="AL47" s="313">
        <f>'Demand calc &gt;&gt;&gt;'!L46*'Assumptions data'!$I47*'National data'!$K48*'National data'!$L48*$H47</f>
        <v>4593913.11719999</v>
      </c>
      <c r="AM47" s="197">
        <f>'Demand calc &gt;&gt;&gt;'!L46*'Assumptions data'!$J47*'National data'!$N48*'National data'!$O48*$J47</f>
        <v>5560341.2334106807</v>
      </c>
      <c r="AN47" s="313">
        <f>'Demand calc &gt;&gt;&gt;'!M46*'Assumptions data'!$E47*'National data'!$E48*'National data'!$F48*D47</f>
        <v>4052195.9941426925</v>
      </c>
      <c r="AO47" s="313">
        <f>'Demand calc &gt;&gt;&gt;'!M46*'Assumptions data'!$G47*'National data'!$H48*'National data'!$I48*$F47</f>
        <v>5503299.1062573893</v>
      </c>
      <c r="AP47" s="313">
        <f>'Demand calc &gt;&gt;&gt;'!M46*'Assumptions data'!$I47*'National data'!$K48*'National data'!$L48*$H47</f>
        <v>3389758.2231388064</v>
      </c>
      <c r="AQ47" s="197">
        <f>'Demand calc &gt;&gt;&gt;'!M46*'Assumptions data'!$J47*'National data'!$N48*'National data'!$O48*$J47</f>
        <v>4102866.5406932421</v>
      </c>
      <c r="AR47" s="313">
        <f>'Demand calc &gt;&gt;&gt;'!N46*'Assumptions data'!$E47*'National data'!$E48*'National data'!$F48*D47</f>
        <v>86060.675862708551</v>
      </c>
      <c r="AS47" s="313">
        <f>'Demand calc &gt;&gt;&gt;'!N46*'Assumptions data'!$G47*'National data'!$H48*'National data'!$I48*$F47</f>
        <v>116879.2529393318</v>
      </c>
      <c r="AT47" s="313">
        <f>'Demand calc &gt;&gt;&gt;'!N46*'Assumptions data'!$I47*'National data'!$K48*'National data'!$L48*$H47</f>
        <v>71991.80003044715</v>
      </c>
      <c r="AU47" s="197">
        <f>'Demand calc &gt;&gt;&gt;'!N46*'Assumptions data'!$J47*'National data'!$N48*'National data'!$O48*$J47</f>
        <v>87136.818647701279</v>
      </c>
      <c r="AV47" s="313">
        <f>'Demand calc &gt;&gt;&gt;'!O46*'Assumptions data'!$E47*'National data'!$E48*'National data'!$F48*D47</f>
        <v>16699213.54440001</v>
      </c>
      <c r="AW47" s="313">
        <f>'Demand calc &gt;&gt;&gt;'!O46*'Assumptions data'!$G47*'National data'!$H48*'National data'!$I48*$F47</f>
        <v>22679250.240348</v>
      </c>
      <c r="AX47" s="313">
        <f>'Demand calc &gt;&gt;&gt;'!O46*'Assumptions data'!$I47*'National data'!$K48*'National data'!$L48*$H47</f>
        <v>13969288.877908003</v>
      </c>
      <c r="AY47" s="197">
        <f>'Demand calc &gt;&gt;&gt;'!O46*'Assumptions data'!$J47*'National data'!$N48*'National data'!$O48*$J47</f>
        <v>16908028.290399998</v>
      </c>
    </row>
    <row r="48" spans="1:51">
      <c r="A48" s="9">
        <v>46</v>
      </c>
      <c r="B48" s="1" t="s">
        <v>538</v>
      </c>
      <c r="C48" s="1" t="s">
        <v>539</v>
      </c>
      <c r="D48" s="301">
        <f t="shared" si="4"/>
        <v>8.7468750000000046</v>
      </c>
      <c r="E48" s="313">
        <f>'Demand calc &gt;&gt;&gt;'!$E47*'Assumptions data'!$E48*'National data'!$E49*'National data'!$F49*D48</f>
        <v>1223119399.7069433</v>
      </c>
      <c r="F48" s="301">
        <f t="shared" si="5"/>
        <v>97.47</v>
      </c>
      <c r="G48" s="313">
        <f>'Demand calc &gt;&gt;&gt;'!E47*'Assumptions data'!$G48*'National data'!$H49*'National data'!$I49*$F48</f>
        <v>1661121996.3158243</v>
      </c>
      <c r="H48" s="301">
        <f t="shared" si="3"/>
        <v>45.027500000000003</v>
      </c>
      <c r="I48" s="313">
        <f>'Demand calc &gt;&gt;&gt;'!E47*'Assumptions data'!$I48*'National data'!$K49*'National data'!$L49*$H48</f>
        <v>1023168437.3189808</v>
      </c>
      <c r="J48" s="323">
        <f t="shared" si="6"/>
        <v>31.142857142857142</v>
      </c>
      <c r="K48" s="197">
        <f>'Demand calc &gt;&gt;&gt;'!E47*'Assumptions data'!$J48*'National data'!$N49*'National data'!$O49*J48</f>
        <v>1238413854.5085657</v>
      </c>
      <c r="L48" s="313">
        <f>'Demand calc &gt;&gt;&gt;'!$F47*'Assumptions data'!$E48*'National data'!$E49*'National data'!$F49*$D48</f>
        <v>309535951.1182974</v>
      </c>
      <c r="M48" s="313">
        <f>'Demand calc &gt;&gt;&gt;'!$F47*'Assumptions data'!$G48*'National data'!$H49*'National data'!$I49*$F48</f>
        <v>420381670.97696203</v>
      </c>
      <c r="N48" s="313">
        <f>'Demand calc &gt;&gt;&gt;'!$F47*'Assumptions data'!$I48*'National data'!$K49*'National data'!$L49*$H48</f>
        <v>258934177.21576095</v>
      </c>
      <c r="O48" s="197">
        <f>'Demand calc &gt;&gt;&gt;'!$F47*'Assumptions data'!$J48*'National data'!$N49*'National data'!$O49*$J48</f>
        <v>313406532.85789722</v>
      </c>
      <c r="P48" s="313">
        <f>'Demand calc &gt;&gt;&gt;'!$G47*'Assumptions data'!$E48*'National data'!$E49*'National data'!$F49*$D48</f>
        <v>253905362.95355028</v>
      </c>
      <c r="Q48" s="313">
        <f>'Demand calc &gt;&gt;&gt;'!$G47*'Assumptions data'!$G48*'National data'!$H49*'National data'!$I49*$F48</f>
        <v>344829608.20157862</v>
      </c>
      <c r="R48" s="313">
        <f>'Demand calc &gt;&gt;&gt;'!$G47*'Assumptions data'!$I48*'National data'!$K49*'National data'!$L49*$H48</f>
        <v>212397868.51744586</v>
      </c>
      <c r="S48" s="197">
        <f>'Demand calc &gt;&gt;&gt;'!$G47*'Assumptions data'!$J48*'National data'!$N49*'National data'!$O49*$J48</f>
        <v>257080313.90152231</v>
      </c>
      <c r="T48" s="313">
        <f>'Demand calc &gt;&gt;&gt;'!$H47*'Assumptions data'!$E48*'National data'!$E49*'National data'!$F49*$D48</f>
        <v>714274045.19609702</v>
      </c>
      <c r="U48" s="313">
        <f>'Demand calc &gt;&gt;&gt;'!$H47*'Assumptions data'!$G48*'National data'!$H49*'National data'!$I49*$F48</f>
        <v>970057647.81181788</v>
      </c>
      <c r="V48" s="313">
        <f>'Demand calc &gt;&gt;&gt;'!$H47*'Assumptions data'!$I48*'National data'!$K49*'National data'!$L49*$H48</f>
        <v>597507208.87584734</v>
      </c>
      <c r="W48" s="197">
        <f>'Demand calc &gt;&gt;&gt;'!$H47*'Assumptions data'!$J48*'National data'!$N49*'National data'!$O49*$J48</f>
        <v>723205660.6237005</v>
      </c>
      <c r="X48" s="313">
        <f>'Demand calc &gt;&gt;&gt;'!$I47*'Assumptions data'!$E48*'National data'!$E49*'National data'!$F49*$D48</f>
        <v>46122143.011948027</v>
      </c>
      <c r="Y48" s="313">
        <f>'Demand calc &gt;&gt;&gt;'!$I47*'Assumptions data'!$G48*'National data'!$H49*'National data'!$I49*$F48</f>
        <v>62638615.896966167</v>
      </c>
      <c r="Z48" s="313">
        <f>'Demand calc &gt;&gt;&gt;'!$I47*'Assumptions data'!$I48*'National data'!$K49*'National data'!$L49*$H48</f>
        <v>38582268.42174542</v>
      </c>
      <c r="AA48" s="197">
        <f>'Demand calc &gt;&gt;&gt;'!$I47*'Assumptions data'!$J48*'National data'!$N49*'National data'!$O49*$J48</f>
        <v>46698875.77558437</v>
      </c>
      <c r="AB48" s="313">
        <f>'Demand calc &gt;&gt;&gt;'!$J47*'Assumptions data'!$E48*'National data'!$E49*'National data'!$F49*D48</f>
        <v>276969649.38923079</v>
      </c>
      <c r="AC48" s="313">
        <f>'Demand calc &gt;&gt;&gt;'!J47*'Assumptions data'!$G48*'National data'!$H49*'National data'!$I49*$F48</f>
        <v>376153282.35539973</v>
      </c>
      <c r="AD48" s="313">
        <f>'Demand calc &gt;&gt;&gt;'!J47*'Assumptions data'!$I48*'National data'!$K49*'National data'!$L49*$H48</f>
        <v>231691692.09339991</v>
      </c>
      <c r="AE48" s="197">
        <f>'Demand calc &gt;&gt;&gt;'!J47*'Assumptions data'!$J48*'National data'!$N49*'National data'!$O49*$J48</f>
        <v>280433006.91999984</v>
      </c>
      <c r="AF48" s="313">
        <f>'Demand calc &gt;&gt;&gt;'!$K47*'Assumptions data'!$E48*'National data'!$E49*'National data'!$F49*D48</f>
        <v>223014507.37259501</v>
      </c>
      <c r="AG48" s="313">
        <f>'Demand calc &gt;&gt;&gt;'!$K47*'Assumptions data'!$G48*'National data'!$H49*'National data'!$I49*$F48</f>
        <v>302876647.84232438</v>
      </c>
      <c r="AH48" s="313">
        <f>'Demand calc &gt;&gt;&gt;'!K47*'Assumptions data'!$I48*'National data'!$K49*'National data'!$L49*$H48</f>
        <v>186556933.90404248</v>
      </c>
      <c r="AI48" s="197">
        <f>'Demand calc &gt;&gt;&gt;'!K47*'Assumptions data'!$J48*'National data'!$N49*'National data'!$O49*$J48</f>
        <v>225803184.67093027</v>
      </c>
      <c r="AJ48" s="313">
        <f>'Demand calc &gt;&gt;&gt;'!L47*'Assumptions data'!$E48*'National data'!$E49*'National data'!$F49*D48</f>
        <v>71277940.442011312</v>
      </c>
      <c r="AK48" s="313">
        <f>'Demand calc &gt;&gt;&gt;'!L47*'Assumptions data'!$G48*'National data'!$H49*'National data'!$I49*$F48</f>
        <v>96802777.184862688</v>
      </c>
      <c r="AL48" s="313">
        <f>'Demand calc &gt;&gt;&gt;'!L47*'Assumptions data'!$I48*'National data'!$K49*'National data'!$L49*$H48</f>
        <v>59625690.63563361</v>
      </c>
      <c r="AM48" s="197">
        <f>'Demand calc &gt;&gt;&gt;'!L47*'Assumptions data'!$J48*'National data'!$N49*'National data'!$O49*$J48</f>
        <v>72169233.016312957</v>
      </c>
      <c r="AN48" s="313">
        <f>'Demand calc &gt;&gt;&gt;'!M47*'Assumptions data'!$E48*'National data'!$E49*'National data'!$F49*D48</f>
        <v>75569228.469297305</v>
      </c>
      <c r="AO48" s="313">
        <f>'Demand calc &gt;&gt;&gt;'!M47*'Assumptions data'!$G48*'National data'!$H49*'National data'!$I49*$F48</f>
        <v>102630787.87323822</v>
      </c>
      <c r="AP48" s="313">
        <f>'Demand calc &gt;&gt;&gt;'!M47*'Assumptions data'!$I48*'National data'!$K49*'National data'!$L49*$H48</f>
        <v>63215455.024961323</v>
      </c>
      <c r="AQ48" s="197">
        <f>'Demand calc &gt;&gt;&gt;'!M47*'Assumptions data'!$J48*'National data'!$N49*'National data'!$O49*$J48</f>
        <v>76514181.308320269</v>
      </c>
      <c r="AR48" s="313">
        <f>'Demand calc &gt;&gt;&gt;'!N47*'Assumptions data'!$E48*'National data'!$E49*'National data'!$F49*D48</f>
        <v>8247134.5860453751</v>
      </c>
      <c r="AS48" s="313">
        <f>'Demand calc &gt;&gt;&gt;'!N47*'Assumptions data'!$G48*'National data'!$H49*'National data'!$I49*$F48</f>
        <v>11200457.347614093</v>
      </c>
      <c r="AT48" s="313">
        <f>'Demand calc &gt;&gt;&gt;'!N47*'Assumptions data'!$I48*'National data'!$K49*'National data'!$L49*$H48</f>
        <v>6898924.0206517382</v>
      </c>
      <c r="AU48" s="197">
        <f>'Demand calc &gt;&gt;&gt;'!N47*'Assumptions data'!$J48*'National data'!$N49*'National data'!$O49*$J48</f>
        <v>8350260.5990898805</v>
      </c>
      <c r="AV48" s="313">
        <f>'Demand calc &gt;&gt;&gt;'!O47*'Assumptions data'!$E48*'National data'!$E49*'National data'!$F49*D48</f>
        <v>246625348.05000016</v>
      </c>
      <c r="AW48" s="313">
        <f>'Demand calc &gt;&gt;&gt;'!O47*'Assumptions data'!$G48*'National data'!$H49*'National data'!$I49*$F48</f>
        <v>334942598.89349997</v>
      </c>
      <c r="AX48" s="313">
        <f>'Demand calc &gt;&gt;&gt;'!O47*'Assumptions data'!$I48*'National data'!$K49*'National data'!$L49*$H48</f>
        <v>206307963.08850002</v>
      </c>
      <c r="AY48" s="197">
        <f>'Demand calc &gt;&gt;&gt;'!O47*'Assumptions data'!$J48*'National data'!$N49*'National data'!$O49*$J48</f>
        <v>249709266.29999998</v>
      </c>
    </row>
    <row r="49" spans="1:51">
      <c r="A49" s="9">
        <v>47</v>
      </c>
      <c r="B49" s="1" t="s">
        <v>543</v>
      </c>
      <c r="C49" s="1" t="s">
        <v>544</v>
      </c>
      <c r="D49" s="301">
        <f t="shared" si="4"/>
        <v>8.7468750000000046</v>
      </c>
      <c r="E49" s="313">
        <f>'Demand calc &gt;&gt;&gt;'!$E48*'Assumptions data'!$E49*'National data'!$E50*'National data'!$F50*D49</f>
        <v>1131117661.5935793</v>
      </c>
      <c r="F49" s="301">
        <f t="shared" si="5"/>
        <v>97.47</v>
      </c>
      <c r="G49" s="313">
        <f>'Demand calc &gt;&gt;&gt;'!E48*'Assumptions data'!$G49*'National data'!$H50*'National data'!$I50*$F49</f>
        <v>1536174169.5410926</v>
      </c>
      <c r="H49" s="301">
        <f t="shared" si="3"/>
        <v>45.027500000000003</v>
      </c>
      <c r="I49" s="313">
        <f>'Demand calc &gt;&gt;&gt;'!E48*'Assumptions data'!$I49*'National data'!$K50*'National data'!$L50*$H49</f>
        <v>946206797.56522071</v>
      </c>
      <c r="J49" s="323">
        <f t="shared" si="6"/>
        <v>31.142857142857142</v>
      </c>
      <c r="K49" s="197">
        <f>'Demand calc &gt;&gt;&gt;'!E48*'Assumptions data'!$J49*'National data'!$N50*'National data'!$O50*J49</f>
        <v>1145261683.8000004</v>
      </c>
      <c r="L49" s="313">
        <f>'Demand calc &gt;&gt;&gt;'!$F48*'Assumptions data'!$E49*'National data'!$E50*'National data'!$F50*$D49</f>
        <v>300770930.8870703</v>
      </c>
      <c r="M49" s="313">
        <f>'Demand calc &gt;&gt;&gt;'!$F48*'Assumptions data'!$G49*'National data'!$H50*'National data'!$I50*$F49</f>
        <v>408477871.63592219</v>
      </c>
      <c r="N49" s="313">
        <f>'Demand calc &gt;&gt;&gt;'!$F48*'Assumptions data'!$I49*'National data'!$K50*'National data'!$L50*$H49</f>
        <v>251602029.54873624</v>
      </c>
      <c r="O49" s="197">
        <f>'Demand calc &gt;&gt;&gt;'!$F48*'Assumptions data'!$J49*'National data'!$N50*'National data'!$O50*$J49</f>
        <v>304531910.73024535</v>
      </c>
      <c r="P49" s="313">
        <f>'Demand calc &gt;&gt;&gt;'!$G48*'Assumptions data'!$E49*'National data'!$E50*'National data'!$F50*$D49</f>
        <v>155956442.09117144</v>
      </c>
      <c r="Q49" s="313">
        <f>'Demand calc &gt;&gt;&gt;'!$G48*'Assumptions data'!$G49*'National data'!$H50*'National data'!$I50*$F49</f>
        <v>211804895.32491332</v>
      </c>
      <c r="R49" s="313">
        <f>'Demand calc &gt;&gt;&gt;'!$G48*'Assumptions data'!$I49*'National data'!$K50*'National data'!$L50*$H49</f>
        <v>130461269.09808195</v>
      </c>
      <c r="S49" s="197">
        <f>'Demand calc &gt;&gt;&gt;'!$G48*'Assumptions data'!$J49*'National data'!$N50*'National data'!$O50*$J49</f>
        <v>157906594.10017133</v>
      </c>
      <c r="T49" s="313">
        <f>'Demand calc &gt;&gt;&gt;'!$H48*'Assumptions data'!$E49*'National data'!$E50*'National data'!$F50*$D49</f>
        <v>699069122.03487313</v>
      </c>
      <c r="U49" s="313">
        <f>'Demand calc &gt;&gt;&gt;'!$H48*'Assumptions data'!$G49*'National data'!$H50*'National data'!$I50*$F49</f>
        <v>949407797.66517401</v>
      </c>
      <c r="V49" s="313">
        <f>'Demand calc &gt;&gt;&gt;'!$H48*'Assumptions data'!$I49*'National data'!$K50*'National data'!$L50*$H49</f>
        <v>584787929.40554202</v>
      </c>
      <c r="W49" s="197">
        <f>'Demand calc &gt;&gt;&gt;'!$H48*'Assumptions data'!$J49*'National data'!$N50*'National data'!$O50*$J49</f>
        <v>707810608.01958871</v>
      </c>
      <c r="X49" s="313">
        <f>'Demand calc &gt;&gt;&gt;'!$I48*'Assumptions data'!$E49*'National data'!$E50*'National data'!$F50*$D49</f>
        <v>22694041.460540514</v>
      </c>
      <c r="Y49" s="313">
        <f>'Demand calc &gt;&gt;&gt;'!$I48*'Assumptions data'!$G49*'National data'!$H50*'National data'!$I50*$F49</f>
        <v>30820843.381635014</v>
      </c>
      <c r="Z49" s="313">
        <f>'Demand calc &gt;&gt;&gt;'!$I48*'Assumptions data'!$I49*'National data'!$K50*'National data'!$L50*$H49</f>
        <v>18984104.857789692</v>
      </c>
      <c r="AA49" s="197">
        <f>'Demand calc &gt;&gt;&gt;'!$I48*'Assumptions data'!$J49*'National data'!$N50*'National data'!$O50*$J49</f>
        <v>22977818.327678371</v>
      </c>
      <c r="AB49" s="313">
        <f>'Demand calc &gt;&gt;&gt;'!$J48*'Assumptions data'!$E49*'National data'!$E50*'National data'!$F50*D49</f>
        <v>243977126.00841376</v>
      </c>
      <c r="AC49" s="313">
        <f>'Demand calc &gt;&gt;&gt;'!J48*'Assumptions data'!$G49*'National data'!$H50*'National data'!$I50*$F49</f>
        <v>331346040.87515646</v>
      </c>
      <c r="AD49" s="313">
        <f>'Demand calc &gt;&gt;&gt;'!J48*'Assumptions data'!$I49*'National data'!$K50*'National data'!$L50*$H49</f>
        <v>204092662.43296894</v>
      </c>
      <c r="AE49" s="197">
        <f>'Demand calc &gt;&gt;&gt;'!J48*'Assumptions data'!$J49*'National data'!$N50*'National data'!$O50*$J49</f>
        <v>247027929.65625018</v>
      </c>
      <c r="AF49" s="313">
        <f>'Demand calc &gt;&gt;&gt;'!$K48*'Assumptions data'!$E49*'National data'!$E50*'National data'!$F50*D49</f>
        <v>238768252.18784004</v>
      </c>
      <c r="AG49" s="313">
        <f>'Demand calc &gt;&gt;&gt;'!$K48*'Assumptions data'!$G49*'National data'!$H50*'National data'!$I50*$F49</f>
        <v>324271854.26552391</v>
      </c>
      <c r="AH49" s="313">
        <f>'Demand calc &gt;&gt;&gt;'!K48*'Assumptions data'!$I49*'National data'!$K50*'National data'!$L50*$H49</f>
        <v>199735315.72710758</v>
      </c>
      <c r="AI49" s="197">
        <f>'Demand calc &gt;&gt;&gt;'!K48*'Assumptions data'!$J49*'National data'!$N50*'National data'!$O50*$J49</f>
        <v>241753921.65071034</v>
      </c>
      <c r="AJ49" s="313">
        <f>'Demand calc &gt;&gt;&gt;'!L48*'Assumptions data'!$E49*'National data'!$E50*'National data'!$F50*D49</f>
        <v>38383928.376782611</v>
      </c>
      <c r="AK49" s="313">
        <f>'Demand calc &gt;&gt;&gt;'!L48*'Assumptions data'!$G49*'National data'!$H50*'National data'!$I50*$F49</f>
        <v>52129324.207400836</v>
      </c>
      <c r="AL49" s="313">
        <f>'Demand calc &gt;&gt;&gt;'!L48*'Assumptions data'!$I49*'National data'!$K50*'National data'!$L50*$H49</f>
        <v>32109068.031171873</v>
      </c>
      <c r="AM49" s="197">
        <f>'Demand calc &gt;&gt;&gt;'!L48*'Assumptions data'!$J49*'National data'!$N50*'National data'!$O50*$J49</f>
        <v>38863898.899536207</v>
      </c>
      <c r="AN49" s="313">
        <f>'Demand calc &gt;&gt;&gt;'!M48*'Assumptions data'!$E49*'National data'!$E50*'National data'!$F50*D49</f>
        <v>51938802.440319262</v>
      </c>
      <c r="AO49" s="313">
        <f>'Demand calc &gt;&gt;&gt;'!M48*'Assumptions data'!$G49*'National data'!$H50*'National data'!$I50*$F49</f>
        <v>70538237.899413615</v>
      </c>
      <c r="AP49" s="313">
        <f>'Demand calc &gt;&gt;&gt;'!M48*'Assumptions data'!$I49*'National data'!$K50*'National data'!$L50*$H49</f>
        <v>43448042.228594743</v>
      </c>
      <c r="AQ49" s="197">
        <f>'Demand calc &gt;&gt;&gt;'!M48*'Assumptions data'!$J49*'National data'!$N50*'National data'!$O50*$J49</f>
        <v>52588269.423317149</v>
      </c>
      <c r="AR49" s="313">
        <f>'Demand calc &gt;&gt;&gt;'!N48*'Assumptions data'!$E49*'National data'!$E50*'National data'!$F50*D49</f>
        <v>3971463.6801959253</v>
      </c>
      <c r="AS49" s="313">
        <f>'Demand calc &gt;&gt;&gt;'!N48*'Assumptions data'!$G49*'National data'!$H50*'National data'!$I50*$F49</f>
        <v>5393656.3170557944</v>
      </c>
      <c r="AT49" s="313">
        <f>'Demand calc &gt;&gt;&gt;'!N48*'Assumptions data'!$I49*'National data'!$K50*'National data'!$L50*$H49</f>
        <v>3322223.7244448522</v>
      </c>
      <c r="AU49" s="197">
        <f>'Demand calc &gt;&gt;&gt;'!N48*'Assumptions data'!$J49*'National data'!$N50*'National data'!$O50*$J49</f>
        <v>4021124.7122812597</v>
      </c>
      <c r="AV49" s="313">
        <f>'Demand calc &gt;&gt;&gt;'!O48*'Assumptions data'!$E49*'National data'!$E50*'National data'!$F50*D49</f>
        <v>211611985.29000014</v>
      </c>
      <c r="AW49" s="313">
        <f>'Demand calc &gt;&gt;&gt;'!O48*'Assumptions data'!$G49*'National data'!$H50*'National data'!$I50*$F49</f>
        <v>287390849.60429996</v>
      </c>
      <c r="AX49" s="313">
        <f>'Demand calc &gt;&gt;&gt;'!O48*'Assumptions data'!$I49*'National data'!$K50*'National data'!$L50*$H49</f>
        <v>177018453.27530003</v>
      </c>
      <c r="AY49" s="197">
        <f>'Demand calc &gt;&gt;&gt;'!O48*'Assumptions data'!$J49*'National data'!$N50*'National data'!$O50*$J49</f>
        <v>214258080.13999999</v>
      </c>
    </row>
    <row r="50" spans="1:51">
      <c r="A50" s="9">
        <v>48</v>
      </c>
      <c r="B50" s="1" t="s">
        <v>548</v>
      </c>
      <c r="C50" s="1" t="s">
        <v>549</v>
      </c>
      <c r="D50" s="301">
        <f t="shared" si="4"/>
        <v>8.7468750000000046</v>
      </c>
      <c r="E50" s="313">
        <f>'Demand calc &gt;&gt;&gt;'!$E49*'Assumptions data'!$E50*'National data'!$E51*'National data'!$F51*D50</f>
        <v>315310796.74441111</v>
      </c>
      <c r="F50" s="301">
        <f t="shared" si="5"/>
        <v>97.47</v>
      </c>
      <c r="G50" s="313">
        <f>'Demand calc &gt;&gt;&gt;'!E49*'Assumptions data'!$G50*'National data'!$H51*'National data'!$I51*$F50</f>
        <v>428224505.53355896</v>
      </c>
      <c r="H50" s="301">
        <f t="shared" si="3"/>
        <v>45.027500000000003</v>
      </c>
      <c r="I50" s="313">
        <f>'Demand calc &gt;&gt;&gt;'!E49*'Assumptions data'!$I50*'National data'!$K51*'National data'!$L51*$H50</f>
        <v>263764972.78358921</v>
      </c>
      <c r="J50" s="323">
        <f t="shared" si="6"/>
        <v>31.142857142857142</v>
      </c>
      <c r="K50" s="197">
        <f>'Demand calc &gt;&gt;&gt;'!E49*'Assumptions data'!$J50*'National data'!$N51*'National data'!$O51*J50</f>
        <v>319253589.84410876</v>
      </c>
      <c r="L50" s="313">
        <f>'Demand calc &gt;&gt;&gt;'!$F49*'Assumptions data'!$E50*'National data'!$E51*'National data'!$F51*$D50</f>
        <v>72892166.505143583</v>
      </c>
      <c r="M50" s="313">
        <f>'Demand calc &gt;&gt;&gt;'!$F49*'Assumptions data'!$G50*'National data'!$H51*'National data'!$I51*$F50</f>
        <v>98995062.272596389</v>
      </c>
      <c r="N50" s="313">
        <f>'Demand calc &gt;&gt;&gt;'!$F49*'Assumptions data'!$I50*'National data'!$K51*'National data'!$L51*$H50</f>
        <v>60976029.089009739</v>
      </c>
      <c r="O50" s="197">
        <f>'Demand calc &gt;&gt;&gt;'!$F49*'Assumptions data'!$J50*'National data'!$N51*'National data'!$O51*$J50</f>
        <v>73803644.114175349</v>
      </c>
      <c r="P50" s="313">
        <f>'Demand calc &gt;&gt;&gt;'!$G49*'Assumptions data'!$E50*'National data'!$E51*'National data'!$F51*$D50</f>
        <v>70417391.801742285</v>
      </c>
      <c r="Q50" s="313">
        <f>'Demand calc &gt;&gt;&gt;'!$G49*'Assumptions data'!$G50*'National data'!$H51*'National data'!$I51*$F50</f>
        <v>95634063.586179629</v>
      </c>
      <c r="R50" s="313">
        <f>'Demand calc &gt;&gt;&gt;'!$G49*'Assumptions data'!$I50*'National data'!$K51*'National data'!$L51*$H50</f>
        <v>58905821.252716452</v>
      </c>
      <c r="S50" s="197">
        <f>'Demand calc &gt;&gt;&gt;'!$G49*'Assumptions data'!$J50*'National data'!$N51*'National data'!$O51*$J50</f>
        <v>71297923.674933001</v>
      </c>
      <c r="T50" s="313">
        <f>'Demand calc &gt;&gt;&gt;'!$H49*'Assumptions data'!$E50*'National data'!$E51*'National data'!$F51*$D50</f>
        <v>133069053.71706791</v>
      </c>
      <c r="U50" s="313">
        <f>'Demand calc &gt;&gt;&gt;'!$H49*'Assumptions data'!$G50*'National data'!$H51*'National data'!$I51*$F50</f>
        <v>180721466.94044352</v>
      </c>
      <c r="V50" s="313">
        <f>'Demand calc &gt;&gt;&gt;'!$H49*'Assumptions data'!$I50*'National data'!$K51*'National data'!$L51*$H50</f>
        <v>111315424.953467</v>
      </c>
      <c r="W50" s="197">
        <f>'Demand calc &gt;&gt;&gt;'!$H49*'Assumptions data'!$J50*'National data'!$N51*'National data'!$O51*$J50</f>
        <v>134733011.15904614</v>
      </c>
      <c r="X50" s="313">
        <f>'Demand calc &gt;&gt;&gt;'!$I49*'Assumptions data'!$E50*'National data'!$E51*'National data'!$F51*$D50</f>
        <v>3413733.6069703144</v>
      </c>
      <c r="Y50" s="313">
        <f>'Demand calc &gt;&gt;&gt;'!$I49*'Assumptions data'!$G50*'National data'!$H51*'National data'!$I51*$F50</f>
        <v>4636201.4905982334</v>
      </c>
      <c r="Z50" s="313">
        <f>'Demand calc &gt;&gt;&gt;'!$I49*'Assumptions data'!$I50*'National data'!$K51*'National data'!$L51*$H50</f>
        <v>2855669.2673699534</v>
      </c>
      <c r="AA50" s="197">
        <f>'Demand calc &gt;&gt;&gt;'!$I49*'Assumptions data'!$J50*'National data'!$N51*'National data'!$O51*$J50</f>
        <v>3456420.5223843749</v>
      </c>
      <c r="AB50" s="313">
        <f>'Demand calc &gt;&gt;&gt;'!$J49*'Assumptions data'!$E50*'National data'!$E51*'National data'!$F51*D50</f>
        <v>116478109.2494846</v>
      </c>
      <c r="AC50" s="313">
        <f>'Demand calc &gt;&gt;&gt;'!J49*'Assumptions data'!$G50*'National data'!$H51*'National data'!$I51*$F50</f>
        <v>158189257.24663913</v>
      </c>
      <c r="AD50" s="313">
        <f>'Demand calc &gt;&gt;&gt;'!J49*'Assumptions data'!$I50*'National data'!$K51*'National data'!$L51*$H50</f>
        <v>97436705.730625421</v>
      </c>
      <c r="AE50" s="197">
        <f>'Demand calc &gt;&gt;&gt;'!J49*'Assumptions data'!$J50*'National data'!$N51*'National data'!$O51*$J50</f>
        <v>117934605.79243983</v>
      </c>
      <c r="AF50" s="313">
        <f>'Demand calc &gt;&gt;&gt;'!$K49*'Assumptions data'!$E50*'National data'!$E51*'National data'!$F51*D50</f>
        <v>77471717.841462642</v>
      </c>
      <c r="AG50" s="313">
        <f>'Demand calc &gt;&gt;&gt;'!$K49*'Assumptions data'!$G50*'National data'!$H51*'National data'!$I51*$F50</f>
        <v>105214564.19517221</v>
      </c>
      <c r="AH50" s="313">
        <f>'Demand calc &gt;&gt;&gt;'!K49*'Assumptions data'!$I50*'National data'!$K51*'National data'!$L51*$H50</f>
        <v>64806932.585043162</v>
      </c>
      <c r="AI50" s="197">
        <f>'Demand calc &gt;&gt;&gt;'!K49*'Assumptions data'!$J50*'National data'!$N51*'National data'!$O51*$J50</f>
        <v>78440460.293928191</v>
      </c>
      <c r="AJ50" s="313">
        <f>'Demand calc &gt;&gt;&gt;'!L49*'Assumptions data'!$E50*'National data'!$E51*'National data'!$F51*D50</f>
        <v>21204258.69756221</v>
      </c>
      <c r="AK50" s="313">
        <f>'Demand calc &gt;&gt;&gt;'!L49*'Assumptions data'!$G50*'National data'!$H51*'National data'!$I51*$F50</f>
        <v>28797565.099965744</v>
      </c>
      <c r="AL50" s="313">
        <f>'Demand calc &gt;&gt;&gt;'!L49*'Assumptions data'!$I50*'National data'!$K51*'National data'!$L51*$H50</f>
        <v>17737866.181576658</v>
      </c>
      <c r="AM50" s="197">
        <f>'Demand calc &gt;&gt;&gt;'!L49*'Assumptions data'!$J50*'National data'!$N51*'National data'!$O51*$J50</f>
        <v>21469406.626970802</v>
      </c>
      <c r="AN50" s="313">
        <f>'Demand calc &gt;&gt;&gt;'!M49*'Assumptions data'!$E50*'National data'!$E51*'National data'!$F51*D50</f>
        <v>15311392.219980672</v>
      </c>
      <c r="AO50" s="313">
        <f>'Demand calc &gt;&gt;&gt;'!M49*'Assumptions data'!$G50*'National data'!$H51*'National data'!$I51*$F50</f>
        <v>20794446.08345091</v>
      </c>
      <c r="AP50" s="313">
        <f>'Demand calc &gt;&gt;&gt;'!M49*'Assumptions data'!$I50*'National data'!$K51*'National data'!$L51*$H50</f>
        <v>12808343.367498869</v>
      </c>
      <c r="AQ50" s="197">
        <f>'Demand calc &gt;&gt;&gt;'!M49*'Assumptions data'!$J50*'National data'!$N51*'National data'!$O51*$J50</f>
        <v>15502853.001580993</v>
      </c>
      <c r="AR50" s="313">
        <f>'Demand calc &gt;&gt;&gt;'!N49*'Assumptions data'!$E50*'National data'!$E51*'National data'!$F51*D50</f>
        <v>824266.50227237237</v>
      </c>
      <c r="AS50" s="313">
        <f>'Demand calc &gt;&gt;&gt;'!N49*'Assumptions data'!$G50*'National data'!$H51*'National data'!$I51*$F50</f>
        <v>1119438.7220732532</v>
      </c>
      <c r="AT50" s="313">
        <f>'Demand calc &gt;&gt;&gt;'!N49*'Assumptions data'!$I50*'National data'!$K51*'National data'!$L51*$H50</f>
        <v>689518.51247431221</v>
      </c>
      <c r="AU50" s="197">
        <f>'Demand calc &gt;&gt;&gt;'!N49*'Assumptions data'!$J50*'National data'!$N51*'National data'!$O51*$J50</f>
        <v>834573.51462661731</v>
      </c>
      <c r="AV50" s="313">
        <f>'Demand calc &gt;&gt;&gt;'!O49*'Assumptions data'!$E50*'National data'!$E51*'National data'!$F51*D50</f>
        <v>67872145.72770004</v>
      </c>
      <c r="AW50" s="313">
        <f>'Demand calc &gt;&gt;&gt;'!O49*'Assumptions data'!$G50*'National data'!$H51*'National data'!$I51*$F50</f>
        <v>92177357.527358979</v>
      </c>
      <c r="AX50" s="313">
        <f>'Demand calc &gt;&gt;&gt;'!O49*'Assumptions data'!$I50*'National data'!$K51*'National data'!$L51*$H50</f>
        <v>56776662.440589003</v>
      </c>
      <c r="AY50" s="197">
        <f>'Demand calc &gt;&gt;&gt;'!O49*'Assumptions data'!$J50*'National data'!$N51*'National data'!$O51*$J50</f>
        <v>68720850.658199966</v>
      </c>
    </row>
    <row r="51" spans="1:51">
      <c r="A51" s="9">
        <v>49</v>
      </c>
      <c r="B51" s="1" t="s">
        <v>553</v>
      </c>
      <c r="C51" s="1" t="s">
        <v>554</v>
      </c>
      <c r="D51" s="301">
        <f t="shared" si="4"/>
        <v>8.7468750000000046</v>
      </c>
      <c r="E51" s="313">
        <f>'Demand calc &gt;&gt;&gt;'!$E50*'Assumptions data'!$E51*'National data'!$E52*'National data'!$F52*D51</f>
        <v>868899468.29112172</v>
      </c>
      <c r="F51" s="301">
        <f t="shared" si="5"/>
        <v>97.47</v>
      </c>
      <c r="G51" s="313">
        <f>'Demand calc &gt;&gt;&gt;'!E50*'Assumptions data'!$G51*'National data'!$H52*'National data'!$I52*$F51</f>
        <v>1180054882.3862405</v>
      </c>
      <c r="H51" s="301">
        <f t="shared" si="3"/>
        <v>45.027500000000003</v>
      </c>
      <c r="I51" s="313">
        <f>'Demand calc &gt;&gt;&gt;'!E50*'Assumptions data'!$I51*'National data'!$K52*'National data'!$L52*$H51</f>
        <v>726855048.96065748</v>
      </c>
      <c r="J51" s="323">
        <f t="shared" si="6"/>
        <v>31.142857142857142</v>
      </c>
      <c r="K51" s="197">
        <f>'Demand calc &gt;&gt;&gt;'!E50*'Assumptions data'!$J51*'National data'!$N52*'National data'!$O52*J51</f>
        <v>879764592.04610109</v>
      </c>
      <c r="L51" s="313">
        <f>'Demand calc &gt;&gt;&gt;'!$F50*'Assumptions data'!$E51*'National data'!$E52*'National data'!$F52*$D51</f>
        <v>232283391.45204711</v>
      </c>
      <c r="M51" s="313">
        <f>'Demand calc &gt;&gt;&gt;'!$F50*'Assumptions data'!$G51*'National data'!$H52*'National data'!$I52*$F51</f>
        <v>315464746.13376552</v>
      </c>
      <c r="N51" s="313">
        <f>'Demand calc &gt;&gt;&gt;'!$F50*'Assumptions data'!$I51*'National data'!$K52*'National data'!$L52*$H51</f>
        <v>194310575.65114915</v>
      </c>
      <c r="O51" s="197">
        <f>'Demand calc &gt;&gt;&gt;'!$F50*'Assumptions data'!$J51*'National data'!$N52*'National data'!$O52*$J51</f>
        <v>235187971.19510576</v>
      </c>
      <c r="P51" s="313">
        <f>'Demand calc &gt;&gt;&gt;'!$G50*'Assumptions data'!$E51*'National data'!$E52*'National data'!$F52*$D51</f>
        <v>199416359.38680014</v>
      </c>
      <c r="Q51" s="313">
        <f>'Demand calc &gt;&gt;&gt;'!$G50*'Assumptions data'!$G51*'National data'!$H52*'National data'!$I52*$F51</f>
        <v>270827934.77235603</v>
      </c>
      <c r="R51" s="313">
        <f>'Demand calc &gt;&gt;&gt;'!$G50*'Assumptions data'!$I51*'National data'!$K52*'National data'!$L52*$H51</f>
        <v>166816522.45767605</v>
      </c>
      <c r="S51" s="197">
        <f>'Demand calc &gt;&gt;&gt;'!$G50*'Assumptions data'!$J51*'National data'!$N52*'National data'!$O52*$J51</f>
        <v>201909954.4488</v>
      </c>
      <c r="T51" s="313">
        <f>'Demand calc &gt;&gt;&gt;'!$H50*'Assumptions data'!$E51*'National data'!$E52*'National data'!$F52*$D51</f>
        <v>659335879.34248936</v>
      </c>
      <c r="U51" s="313">
        <f>'Demand calc &gt;&gt;&gt;'!$H50*'Assumptions data'!$G51*'National data'!$H52*'National data'!$I52*$F51</f>
        <v>895445965.7809875</v>
      </c>
      <c r="V51" s="313">
        <f>'Demand calc &gt;&gt;&gt;'!$H50*'Assumptions data'!$I51*'National data'!$K52*'National data'!$L52*$H51</f>
        <v>551550127.89170575</v>
      </c>
      <c r="W51" s="197">
        <f>'Demand calc &gt;&gt;&gt;'!$H50*'Assumptions data'!$J51*'National data'!$N52*'National data'!$O52*$J51</f>
        <v>667580522.34962976</v>
      </c>
      <c r="X51" s="313">
        <f>'Demand calc &gt;&gt;&gt;'!$I50*'Assumptions data'!$E51*'National data'!$E52*'National data'!$F52*$D51</f>
        <v>10267550.169230772</v>
      </c>
      <c r="Y51" s="313">
        <f>'Demand calc &gt;&gt;&gt;'!$I50*'Assumptions data'!$G51*'National data'!$H52*'National data'!$I52*$F51</f>
        <v>13944389.597999996</v>
      </c>
      <c r="Z51" s="313">
        <f>'Demand calc &gt;&gt;&gt;'!$I50*'Assumptions data'!$I51*'National data'!$K52*'National data'!$L52*$H51</f>
        <v>8589049.657999998</v>
      </c>
      <c r="AA51" s="197">
        <f>'Demand calc &gt;&gt;&gt;'!$I50*'Assumptions data'!$J51*'National data'!$N52*'National data'!$O52*$J51</f>
        <v>10395940.399999997</v>
      </c>
      <c r="AB51" s="313">
        <f>'Demand calc &gt;&gt;&gt;'!$J50*'Assumptions data'!$E51*'National data'!$E52*'National data'!$F52*D51</f>
        <v>197491083.56129032</v>
      </c>
      <c r="AC51" s="313">
        <f>'Demand calc &gt;&gt;&gt;'!J50*'Assumptions data'!$G51*'National data'!$H52*'National data'!$I52*$F51</f>
        <v>268213212.10219336</v>
      </c>
      <c r="AD51" s="313">
        <f>'Demand calc &gt;&gt;&gt;'!J50*'Assumptions data'!$I51*'National data'!$K52*'National data'!$L52*$H51</f>
        <v>165205983.48799992</v>
      </c>
      <c r="AE51" s="197">
        <f>'Demand calc &gt;&gt;&gt;'!J50*'Assumptions data'!$J51*'National data'!$N52*'National data'!$O52*$J51</f>
        <v>199960604.07741919</v>
      </c>
      <c r="AF51" s="313">
        <f>'Demand calc &gt;&gt;&gt;'!$K50*'Assumptions data'!$E51*'National data'!$E52*'National data'!$F52*D51</f>
        <v>131531202.18689109</v>
      </c>
      <c r="AG51" s="313">
        <f>'Demand calc &gt;&gt;&gt;'!$K50*'Assumptions data'!$G51*'National data'!$H52*'National data'!$I52*$F51</f>
        <v>178632906.32693616</v>
      </c>
      <c r="AH51" s="313">
        <f>'Demand calc &gt;&gt;&gt;'!K50*'Assumptions data'!$I51*'National data'!$K52*'National data'!$L52*$H51</f>
        <v>110028975.61145133</v>
      </c>
      <c r="AI51" s="197">
        <f>'Demand calc &gt;&gt;&gt;'!K50*'Assumptions data'!$J51*'National data'!$N52*'National data'!$O52*$J51</f>
        <v>133175929.6168807</v>
      </c>
      <c r="AJ51" s="313">
        <f>'Demand calc &gt;&gt;&gt;'!L50*'Assumptions data'!$E51*'National data'!$E52*'National data'!$F52*D51</f>
        <v>65659096.301686123</v>
      </c>
      <c r="AK51" s="313">
        <f>'Demand calc &gt;&gt;&gt;'!L50*'Assumptions data'!$G51*'National data'!$H52*'National data'!$I52*$F51</f>
        <v>89171808.697566405</v>
      </c>
      <c r="AL51" s="313">
        <f>'Demand calc &gt;&gt;&gt;'!L50*'Assumptions data'!$I51*'National data'!$K52*'National data'!$L52*$H51</f>
        <v>54925394.017026387</v>
      </c>
      <c r="AM51" s="197">
        <f>'Demand calc &gt;&gt;&gt;'!L50*'Assumptions data'!$J51*'National data'!$N52*'National data'!$O52*$J51</f>
        <v>66480128.231146254</v>
      </c>
      <c r="AN51" s="313">
        <f>'Demand calc &gt;&gt;&gt;'!M50*'Assumptions data'!$E51*'National data'!$E52*'National data'!$F52*D51</f>
        <v>58662131.094716161</v>
      </c>
      <c r="AO51" s="313">
        <f>'Demand calc &gt;&gt;&gt;'!M50*'Assumptions data'!$G51*'National data'!$H52*'National data'!$I52*$F51</f>
        <v>79669210.001528144</v>
      </c>
      <c r="AP51" s="313">
        <f>'Demand calc &gt;&gt;&gt;'!M50*'Assumptions data'!$I51*'National data'!$K52*'National data'!$L52*$H51</f>
        <v>49072266.384101897</v>
      </c>
      <c r="AQ51" s="197">
        <f>'Demand calc &gt;&gt;&gt;'!M50*'Assumptions data'!$J51*'National data'!$N52*'National data'!$O52*$J51</f>
        <v>59395669.711477496</v>
      </c>
      <c r="AR51" s="313">
        <f>'Demand calc &gt;&gt;&gt;'!N50*'Assumptions data'!$E51*'National data'!$E52*'National data'!$F52*D51</f>
        <v>1780880.3277946003</v>
      </c>
      <c r="AS51" s="313">
        <f>'Demand calc &gt;&gt;&gt;'!N50*'Assumptions data'!$G51*'National data'!$H52*'National data'!$I52*$F51</f>
        <v>2418618.7268508198</v>
      </c>
      <c r="AT51" s="313">
        <f>'Demand calc &gt;&gt;&gt;'!N50*'Assumptions data'!$I51*'National data'!$K52*'National data'!$L52*$H51</f>
        <v>1489748.7052190457</v>
      </c>
      <c r="AU51" s="197">
        <f>'Demand calc &gt;&gt;&gt;'!N50*'Assumptions data'!$J51*'National data'!$N52*'National data'!$O52*$J51</f>
        <v>1803149.285091066</v>
      </c>
      <c r="AV51" s="313">
        <f>'Demand calc &gt;&gt;&gt;'!O50*'Assumptions data'!$E51*'National data'!$E52*'National data'!$F52*D51</f>
        <v>178527028.56750008</v>
      </c>
      <c r="AW51" s="313">
        <f>'Demand calc &gt;&gt;&gt;'!O50*'Assumptions data'!$G51*'National data'!$H52*'National data'!$I52*$F51</f>
        <v>242458074.13522497</v>
      </c>
      <c r="AX51" s="313">
        <f>'Demand calc &gt;&gt;&gt;'!O50*'Assumptions data'!$I51*'National data'!$K52*'National data'!$L52*$H51</f>
        <v>149342100.92847499</v>
      </c>
      <c r="AY51" s="197">
        <f>'Demand calc &gt;&gt;&gt;'!O50*'Assumptions data'!$J51*'National data'!$N52*'National data'!$O52*$J51</f>
        <v>180759413.70499998</v>
      </c>
    </row>
    <row r="52" spans="1:51">
      <c r="A52" s="13">
        <v>50</v>
      </c>
      <c r="B52" s="14" t="s">
        <v>558</v>
      </c>
      <c r="C52" s="14" t="s">
        <v>559</v>
      </c>
      <c r="D52" s="303">
        <f t="shared" si="4"/>
        <v>8.7468750000000046</v>
      </c>
      <c r="E52" s="316">
        <f>'Demand calc &gt;&gt;&gt;'!$E51*'Assumptions data'!$E52*'National data'!$E53*'National data'!$F53*D52</f>
        <v>86401044.877215311</v>
      </c>
      <c r="F52" s="303">
        <f t="shared" si="5"/>
        <v>97.47</v>
      </c>
      <c r="G52" s="316">
        <f>'Demand calc &gt;&gt;&gt;'!E51*'Assumptions data'!$G52*'National data'!$H53*'National data'!$I53*$F52</f>
        <v>117341509.08292416</v>
      </c>
      <c r="H52" s="303">
        <f t="shared" si="3"/>
        <v>45.027500000000003</v>
      </c>
      <c r="I52" s="316">
        <f>'Demand calc &gt;&gt;&gt;'!E51*'Assumptions data'!$I52*'National data'!$K53*'National data'!$L53*$H52</f>
        <v>72276526.797734261</v>
      </c>
      <c r="J52" s="324">
        <f t="shared" si="6"/>
        <v>31.142857142857142</v>
      </c>
      <c r="K52" s="325">
        <f>'Demand calc &gt;&gt;&gt;'!E51*'Assumptions data'!$J52*'National data'!$N53*'National data'!$O53*J52</f>
        <v>87481443.794936791</v>
      </c>
      <c r="L52" s="316">
        <f>'Demand calc &gt;&gt;&gt;'!$F51*'Assumptions data'!$E52*'National data'!$E53*'National data'!$F53*$D52</f>
        <v>18393123.536578737</v>
      </c>
      <c r="M52" s="316">
        <f>'Demand calc &gt;&gt;&gt;'!$F51*'Assumptions data'!$G52*'National data'!$H53*'National data'!$I53*$F52</f>
        <v>24979754.302716259</v>
      </c>
      <c r="N52" s="316">
        <f>'Demand calc &gt;&gt;&gt;'!$F51*'Assumptions data'!$I52*'National data'!$K53*'National data'!$L53*$H52</f>
        <v>15386284.831100941</v>
      </c>
      <c r="O52" s="325">
        <f>'Demand calc &gt;&gt;&gt;'!$F51*'Assumptions data'!$J52*'National data'!$N53*'National data'!$O53*$J52</f>
        <v>18623119.722280852</v>
      </c>
      <c r="P52" s="316">
        <f>'Demand calc &gt;&gt;&gt;'!$G51*'Assumptions data'!$E52*'National data'!$E53*'National data'!$F53*$D52</f>
        <v>20620962.629324999</v>
      </c>
      <c r="Q52" s="316">
        <f>'Demand calc &gt;&gt;&gt;'!$G51*'Assumptions data'!$G52*'National data'!$H53*'National data'!$I53*$F52</f>
        <v>28005389.021697737</v>
      </c>
      <c r="R52" s="316">
        <f>'Demand calc &gt;&gt;&gt;'!$G51*'Assumptions data'!$I52*'National data'!$K53*'National data'!$L53*$H52</f>
        <v>17249925.162265245</v>
      </c>
      <c r="S52" s="325">
        <f>'Demand calc &gt;&gt;&gt;'!$G51*'Assumptions data'!$J52*'National data'!$N53*'National data'!$O53*$J52</f>
        <v>20878816.75294999</v>
      </c>
      <c r="T52" s="316">
        <f>'Demand calc &gt;&gt;&gt;'!$H51*'Assumptions data'!$E52*'National data'!$E53*'National data'!$F53*$D52</f>
        <v>50469785.276125424</v>
      </c>
      <c r="U52" s="316">
        <f>'Demand calc &gt;&gt;&gt;'!$H51*'Assumptions data'!$G52*'National data'!$H53*'National data'!$I53*$F52</f>
        <v>68543161.437546879</v>
      </c>
      <c r="V52" s="316">
        <f>'Demand calc &gt;&gt;&gt;'!$H51*'Assumptions data'!$I52*'National data'!$K53*'National data'!$L53*$H52</f>
        <v>42219174.469124071</v>
      </c>
      <c r="W52" s="325">
        <f>'Demand calc &gt;&gt;&gt;'!$H51*'Assumptions data'!$J52*'National data'!$N53*'National data'!$O53*$J52</f>
        <v>51100882.984115519</v>
      </c>
      <c r="X52" s="316">
        <f>'Demand calc &gt;&gt;&gt;'!$I51*'Assumptions data'!$E52*'National data'!$E53*'National data'!$F53*$D52</f>
        <v>1396588.6078736864</v>
      </c>
      <c r="Y52" s="316">
        <f>'Demand calc &gt;&gt;&gt;'!$I51*'Assumptions data'!$G52*'National data'!$H53*'National data'!$I53*$F52</f>
        <v>1896711.029928002</v>
      </c>
      <c r="Z52" s="316">
        <f>'Demand calc &gt;&gt;&gt;'!$I51*'Assumptions data'!$I52*'National data'!$K53*'National data'!$L53*$H52</f>
        <v>1168279.5513160715</v>
      </c>
      <c r="AA52" s="325">
        <f>'Demand calc &gt;&gt;&gt;'!$I51*'Assumptions data'!$J52*'National data'!$N53*'National data'!$O53*$J52</f>
        <v>1414052.2024701769</v>
      </c>
      <c r="AB52" s="316">
        <f>'Demand calc &gt;&gt;&gt;'!$J51*'Assumptions data'!$E52*'National data'!$E53*'National data'!$F53*D52</f>
        <v>23238306.381456967</v>
      </c>
      <c r="AC52" s="316">
        <f>'Demand calc &gt;&gt;&gt;'!J51*'Assumptions data'!$G52*'National data'!$H53*'National data'!$I53*$F52</f>
        <v>31560011.145774838</v>
      </c>
      <c r="AD52" s="316">
        <f>'Demand calc &gt;&gt;&gt;'!J51*'Assumptions data'!$I52*'National data'!$K53*'National data'!$L53*$H52</f>
        <v>19439395.395046357</v>
      </c>
      <c r="AE52" s="325">
        <f>'Demand calc &gt;&gt;&gt;'!J51*'Assumptions data'!$J52*'National data'!$N53*'National data'!$O53*$J52</f>
        <v>23528888.990728475</v>
      </c>
      <c r="AF52" s="316">
        <f>'Demand calc &gt;&gt;&gt;'!$K51*'Assumptions data'!$E52*'National data'!$E53*'National data'!$F53*D52</f>
        <v>15137659.59166164</v>
      </c>
      <c r="AG52" s="316">
        <f>'Demand calc &gt;&gt;&gt;'!$K51*'Assumptions data'!$G52*'National data'!$H53*'National data'!$I53*$F52</f>
        <v>20558499.298167594</v>
      </c>
      <c r="AH52" s="316">
        <f>'Demand calc &gt;&gt;&gt;'!K51*'Assumptions data'!$I52*'National data'!$K53*'National data'!$L53*$H52</f>
        <v>12663011.896285923</v>
      </c>
      <c r="AI52" s="325">
        <f>'Demand calc &gt;&gt;&gt;'!K51*'Assumptions data'!$J52*'National data'!$N53*'National data'!$O53*$J52</f>
        <v>15326947.939538784</v>
      </c>
      <c r="AJ52" s="316">
        <f>'Demand calc &gt;&gt;&gt;'!L51*'Assumptions data'!$E52*'National data'!$E53*'National data'!$F53*D52</f>
        <v>6335004.5508223893</v>
      </c>
      <c r="AK52" s="316">
        <f>'Demand calc &gt;&gt;&gt;'!L51*'Assumptions data'!$G52*'National data'!$H53*'National data'!$I53*$F52</f>
        <v>8603588.0132824779</v>
      </c>
      <c r="AL52" s="316">
        <f>'Demand calc &gt;&gt;&gt;'!L51*'Assumptions data'!$I52*'National data'!$K53*'National data'!$L53*$H52</f>
        <v>5299381.8168746196</v>
      </c>
      <c r="AM52" s="325">
        <f>'Demand calc &gt;&gt;&gt;'!L51*'Assumptions data'!$J52*'National data'!$N53*'National data'!$O53*$J52</f>
        <v>6414220.3990820423</v>
      </c>
      <c r="AN52" s="316">
        <f>'Demand calc &gt;&gt;&gt;'!M51*'Assumptions data'!$E52*'National data'!$E53*'National data'!$F53*D52</f>
        <v>5535647.4168398948</v>
      </c>
      <c r="AO52" s="316">
        <f>'Demand calc &gt;&gt;&gt;'!M51*'Assumptions data'!$G52*'National data'!$H53*'National data'!$I53*$F52</f>
        <v>7517978.7763686972</v>
      </c>
      <c r="AP52" s="316">
        <f>'Demand calc &gt;&gt;&gt;'!M51*'Assumptions data'!$I52*'National data'!$K53*'National data'!$L53*$H52</f>
        <v>4630700.5827836469</v>
      </c>
      <c r="AQ52" s="325">
        <f>'Demand calc &gt;&gt;&gt;'!M51*'Assumptions data'!$J52*'National data'!$N53*'National data'!$O53*$J52</f>
        <v>5604867.7310911939</v>
      </c>
      <c r="AR52" s="316">
        <f>'Demand calc &gt;&gt;&gt;'!N51*'Assumptions data'!$E52*'National data'!$E53*'National data'!$F53*D52</f>
        <v>381414.10933166859</v>
      </c>
      <c r="AS52" s="316">
        <f>'Demand calc &gt;&gt;&gt;'!N51*'Assumptions data'!$G52*'National data'!$H53*'National data'!$I53*$F52</f>
        <v>517999.60565407318</v>
      </c>
      <c r="AT52" s="316">
        <f>'Demand calc &gt;&gt;&gt;'!N51*'Assumptions data'!$I52*'National data'!$K53*'National data'!$L53*$H52</f>
        <v>319061.96427740209</v>
      </c>
      <c r="AU52" s="325">
        <f>'Demand calc &gt;&gt;&gt;'!N51*'Assumptions data'!$J52*'National data'!$N53*'National data'!$O53*$J52</f>
        <v>386183.489048213</v>
      </c>
      <c r="AV52" s="316">
        <f>'Demand calc &gt;&gt;&gt;'!O51*'Assumptions data'!$E52*'National data'!$E53*'National data'!$F53*D52</f>
        <v>21546130.444200013</v>
      </c>
      <c r="AW52" s="316">
        <f>'Demand calc &gt;&gt;&gt;'!O51*'Assumptions data'!$G52*'National data'!$H53*'National data'!$I53*$F52</f>
        <v>29261862.108413998</v>
      </c>
      <c r="AX52" s="316">
        <f>'Demand calc &gt;&gt;&gt;'!O51*'Assumptions data'!$I52*'National data'!$K53*'National data'!$L53*$H52</f>
        <v>18023850.019993998</v>
      </c>
      <c r="AY52" s="325">
        <f>'Demand calc &gt;&gt;&gt;'!O51*'Assumptions data'!$J52*'National data'!$N53*'National data'!$O53*$J52</f>
        <v>21815553.297199998</v>
      </c>
    </row>
    <row r="53" spans="1:51" s="26" customFormat="1">
      <c r="A53" s="4"/>
      <c r="B53" s="4"/>
      <c r="C53" s="4"/>
    </row>
    <row r="54" spans="1:51" s="26" customFormat="1">
      <c r="A54" s="4"/>
      <c r="B54" s="4"/>
      <c r="C54" s="4"/>
    </row>
    <row r="55" spans="1:51" s="26" customFormat="1">
      <c r="A55" s="4"/>
      <c r="B55" s="4"/>
      <c r="C55" s="4"/>
    </row>
    <row r="56" spans="1:51" s="26" customFormat="1">
      <c r="A56" s="4"/>
      <c r="B56" s="4"/>
      <c r="C56" s="4"/>
    </row>
    <row r="57" spans="1:51" s="26" customFormat="1">
      <c r="A57" s="4"/>
      <c r="B57" s="4"/>
      <c r="C57" s="4"/>
    </row>
    <row r="58" spans="1:51" s="26" customFormat="1">
      <c r="A58" s="4"/>
      <c r="B58" s="4"/>
      <c r="C58" s="4"/>
    </row>
    <row r="59" spans="1:51" s="26" customFormat="1">
      <c r="A59" s="4"/>
      <c r="B59" s="4"/>
      <c r="C59" s="4"/>
    </row>
    <row r="60" spans="1:51" s="26" customFormat="1">
      <c r="A60" s="4"/>
      <c r="B60" s="4"/>
      <c r="C60" s="4"/>
    </row>
    <row r="61" spans="1:51" s="26" customFormat="1">
      <c r="A61" s="4"/>
      <c r="B61" s="4"/>
      <c r="C61" s="4"/>
    </row>
    <row r="62" spans="1:51" s="26" customFormat="1">
      <c r="A62" s="4"/>
      <c r="B62" s="4"/>
      <c r="C62" s="4"/>
    </row>
    <row r="63" spans="1:51" s="26" customFormat="1">
      <c r="A63" s="4"/>
      <c r="B63" s="4"/>
      <c r="C63" s="4"/>
    </row>
    <row r="64" spans="1:51" s="26" customFormat="1">
      <c r="A64" s="4"/>
      <c r="B64" s="4"/>
      <c r="C64" s="4"/>
    </row>
    <row r="65" spans="1:3" s="26" customFormat="1">
      <c r="A65" s="4"/>
      <c r="B65" s="4"/>
      <c r="C65" s="4"/>
    </row>
    <row r="66" spans="1:3" s="26" customFormat="1">
      <c r="A66" s="4"/>
      <c r="B66" s="4"/>
      <c r="C66" s="4"/>
    </row>
    <row r="67" spans="1:3" s="26" customFormat="1">
      <c r="A67" s="4"/>
      <c r="B67" s="4"/>
      <c r="C67" s="4"/>
    </row>
    <row r="68" spans="1:3" s="26" customFormat="1">
      <c r="A68" s="4"/>
      <c r="B68" s="4"/>
      <c r="C68" s="4"/>
    </row>
    <row r="69" spans="1:3" s="26" customFormat="1">
      <c r="A69" s="4"/>
      <c r="B69" s="4"/>
      <c r="C69" s="4"/>
    </row>
    <row r="70" spans="1:3" s="26" customFormat="1">
      <c r="A70" s="4"/>
      <c r="B70" s="4"/>
      <c r="C70" s="4"/>
    </row>
    <row r="71" spans="1:3" s="26" customFormat="1">
      <c r="A71" s="4"/>
      <c r="B71" s="4"/>
      <c r="C71" s="4"/>
    </row>
    <row r="72" spans="1:3" s="26" customFormat="1">
      <c r="A72" s="4"/>
      <c r="B72" s="4"/>
      <c r="C72" s="4"/>
    </row>
    <row r="73" spans="1:3" s="26" customFormat="1">
      <c r="A73" s="4"/>
      <c r="B73" s="4"/>
      <c r="C73" s="4"/>
    </row>
    <row r="74" spans="1:3" s="26" customFormat="1">
      <c r="A74" s="4"/>
      <c r="B74" s="4"/>
      <c r="C74" s="4"/>
    </row>
    <row r="75" spans="1:3" s="26" customFormat="1">
      <c r="A75" s="4"/>
      <c r="B75" s="4"/>
      <c r="C75" s="4"/>
    </row>
    <row r="76" spans="1:3" s="26" customFormat="1">
      <c r="A76" s="4"/>
      <c r="B76" s="4"/>
      <c r="C76" s="4"/>
    </row>
    <row r="77" spans="1:3" s="26" customFormat="1">
      <c r="A77" s="4"/>
      <c r="B77" s="4"/>
      <c r="C77" s="4"/>
    </row>
    <row r="78" spans="1:3" s="26" customFormat="1">
      <c r="A78" s="4"/>
      <c r="B78" s="4"/>
      <c r="C78" s="4"/>
    </row>
    <row r="79" spans="1:3" s="26" customFormat="1">
      <c r="A79" s="4"/>
      <c r="B79" s="4"/>
      <c r="C79" s="4"/>
    </row>
    <row r="80" spans="1:3" s="26" customFormat="1">
      <c r="A80" s="4"/>
      <c r="B80" s="4"/>
      <c r="C80" s="4"/>
    </row>
    <row r="81" spans="1:3" s="26" customFormat="1">
      <c r="A81" s="4"/>
      <c r="B81" s="4"/>
      <c r="C81" s="4"/>
    </row>
    <row r="82" spans="1:3" s="26" customFormat="1">
      <c r="A82" s="4"/>
      <c r="B82" s="4"/>
      <c r="C82" s="4"/>
    </row>
    <row r="83" spans="1:3" s="26" customFormat="1">
      <c r="A83" s="4"/>
      <c r="B83" s="4"/>
      <c r="C83" s="4"/>
    </row>
    <row r="84" spans="1:3" s="26" customFormat="1">
      <c r="A84" s="4"/>
      <c r="B84" s="4"/>
      <c r="C84" s="4"/>
    </row>
    <row r="85" spans="1:3" s="26" customFormat="1">
      <c r="A85" s="4"/>
      <c r="B85" s="4"/>
      <c r="C85" s="4"/>
    </row>
    <row r="86" spans="1:3" s="26" customFormat="1">
      <c r="A86" s="4"/>
      <c r="B86" s="4"/>
      <c r="C86" s="4"/>
    </row>
    <row r="87" spans="1:3" s="26" customFormat="1">
      <c r="A87" s="4"/>
      <c r="B87" s="4"/>
      <c r="C87" s="4"/>
    </row>
    <row r="88" spans="1:3" s="26" customFormat="1">
      <c r="A88" s="4"/>
      <c r="B88" s="4"/>
      <c r="C88" s="4"/>
    </row>
    <row r="89" spans="1:3" s="26" customFormat="1">
      <c r="A89" s="4"/>
      <c r="B89" s="4"/>
      <c r="C89" s="4"/>
    </row>
    <row r="90" spans="1:3" s="26" customFormat="1">
      <c r="A90" s="4"/>
      <c r="B90" s="4"/>
      <c r="C90" s="4"/>
    </row>
    <row r="91" spans="1:3" s="26" customFormat="1">
      <c r="A91" s="4"/>
      <c r="B91" s="4"/>
      <c r="C91" s="4"/>
    </row>
    <row r="92" spans="1:3" s="26" customFormat="1">
      <c r="A92" s="4"/>
      <c r="B92" s="4"/>
      <c r="C92" s="4"/>
    </row>
    <row r="93" spans="1:3" s="26" customFormat="1">
      <c r="A93" s="4"/>
      <c r="B93" s="4"/>
      <c r="C93" s="4"/>
    </row>
    <row r="94" spans="1:3" s="26" customFormat="1">
      <c r="A94" s="4"/>
      <c r="B94" s="4"/>
      <c r="C94" s="4"/>
    </row>
    <row r="95" spans="1:3" s="26" customFormat="1">
      <c r="A95" s="4"/>
      <c r="B95" s="4"/>
      <c r="C95" s="4"/>
    </row>
    <row r="96" spans="1:3" s="26" customFormat="1">
      <c r="A96" s="4"/>
      <c r="B96" s="4"/>
      <c r="C96" s="4"/>
    </row>
    <row r="97" spans="1:3" s="26" customFormat="1">
      <c r="A97" s="4"/>
      <c r="B97" s="4"/>
      <c r="C97" s="4"/>
    </row>
    <row r="98" spans="1:3" s="26" customFormat="1">
      <c r="A98" s="4"/>
      <c r="B98" s="4"/>
      <c r="C98" s="4"/>
    </row>
    <row r="99" spans="1:3" s="26" customFormat="1">
      <c r="A99" s="4"/>
      <c r="B99" s="4"/>
      <c r="C99" s="4"/>
    </row>
    <row r="100" spans="1:3" s="26" customFormat="1">
      <c r="A100" s="4"/>
      <c r="B100" s="4"/>
      <c r="C100" s="4"/>
    </row>
    <row r="101" spans="1:3" s="26" customFormat="1">
      <c r="A101" s="4"/>
      <c r="B101" s="4"/>
      <c r="C101" s="4"/>
    </row>
    <row r="102" spans="1:3" s="26" customFormat="1">
      <c r="A102" s="4"/>
      <c r="B102" s="4"/>
      <c r="C102" s="4"/>
    </row>
    <row r="103" spans="1:3" s="26" customFormat="1">
      <c r="A103" s="4"/>
      <c r="B103" s="4"/>
      <c r="C103" s="4"/>
    </row>
    <row r="104" spans="1:3" s="26" customFormat="1">
      <c r="A104" s="4"/>
      <c r="B104" s="4"/>
      <c r="C104" s="4"/>
    </row>
    <row r="105" spans="1:3" s="26" customFormat="1">
      <c r="A105" s="4"/>
      <c r="B105" s="4"/>
      <c r="C105" s="4"/>
    </row>
    <row r="106" spans="1:3" s="26" customFormat="1">
      <c r="A106" s="4"/>
      <c r="B106" s="4"/>
      <c r="C106" s="4"/>
    </row>
    <row r="107" spans="1:3" s="26" customFormat="1">
      <c r="A107" s="4"/>
      <c r="B107" s="4"/>
      <c r="C107" s="4"/>
    </row>
    <row r="108" spans="1:3" s="26" customFormat="1">
      <c r="A108" s="4"/>
      <c r="B108" s="4"/>
      <c r="C108" s="4"/>
    </row>
    <row r="109" spans="1:3" s="26" customFormat="1">
      <c r="A109" s="4"/>
      <c r="B109" s="4"/>
      <c r="C109" s="4"/>
    </row>
    <row r="110" spans="1:3" s="26" customFormat="1">
      <c r="A110" s="4"/>
      <c r="B110" s="4"/>
      <c r="C110" s="4"/>
    </row>
    <row r="111" spans="1:3" s="26" customFormat="1">
      <c r="A111" s="4"/>
      <c r="B111" s="4"/>
      <c r="C111" s="4"/>
    </row>
    <row r="112" spans="1:3" s="26" customFormat="1">
      <c r="A112" s="4"/>
      <c r="B112" s="4"/>
      <c r="C112" s="4"/>
    </row>
    <row r="113" spans="1:3" s="26" customFormat="1">
      <c r="A113" s="4"/>
      <c r="B113" s="4"/>
      <c r="C113" s="4"/>
    </row>
    <row r="114" spans="1:3" s="26" customFormat="1">
      <c r="A114" s="4"/>
      <c r="B114" s="4"/>
      <c r="C114" s="4"/>
    </row>
    <row r="115" spans="1:3" s="26" customFormat="1">
      <c r="A115" s="4"/>
      <c r="B115" s="4"/>
      <c r="C115" s="4"/>
    </row>
    <row r="116" spans="1:3" s="26" customFormat="1">
      <c r="A116" s="4"/>
      <c r="B116" s="4"/>
      <c r="C116" s="4"/>
    </row>
    <row r="117" spans="1:3" s="26" customFormat="1">
      <c r="A117" s="4"/>
      <c r="B117" s="4"/>
      <c r="C117" s="4"/>
    </row>
    <row r="118" spans="1:3" s="26" customFormat="1">
      <c r="A118" s="4"/>
      <c r="B118" s="4"/>
      <c r="C118" s="4"/>
    </row>
    <row r="119" spans="1:3" s="26" customFormat="1">
      <c r="A119" s="4"/>
      <c r="B119" s="4"/>
      <c r="C119" s="4"/>
    </row>
    <row r="120" spans="1:3" s="26" customFormat="1">
      <c r="A120" s="4"/>
      <c r="B120" s="4"/>
      <c r="C120" s="4"/>
    </row>
    <row r="121" spans="1:3" s="26" customFormat="1">
      <c r="A121" s="4"/>
      <c r="B121" s="4"/>
      <c r="C121" s="4"/>
    </row>
    <row r="122" spans="1:3" s="26" customFormat="1">
      <c r="A122" s="4"/>
      <c r="B122" s="4"/>
      <c r="C122" s="4"/>
    </row>
    <row r="123" spans="1:3" s="26" customFormat="1">
      <c r="A123" s="4"/>
      <c r="B123" s="4"/>
      <c r="C123" s="4"/>
    </row>
    <row r="124" spans="1:3" s="26" customFormat="1">
      <c r="A124" s="4"/>
      <c r="B124" s="4"/>
      <c r="C124" s="4"/>
    </row>
    <row r="125" spans="1:3" s="26" customFormat="1">
      <c r="A125" s="4"/>
      <c r="B125" s="4"/>
      <c r="C125" s="4"/>
    </row>
    <row r="126" spans="1:3" s="26" customFormat="1">
      <c r="A126" s="4"/>
      <c r="B126" s="4"/>
      <c r="C126" s="4"/>
    </row>
    <row r="127" spans="1:3" s="26" customFormat="1">
      <c r="A127" s="4"/>
      <c r="B127" s="4"/>
      <c r="C127" s="4"/>
    </row>
    <row r="128" spans="1:3" s="26" customFormat="1">
      <c r="A128" s="4"/>
      <c r="B128" s="4"/>
      <c r="C128" s="4"/>
    </row>
    <row r="129" spans="1:3" s="26" customFormat="1">
      <c r="A129" s="4"/>
      <c r="B129" s="4"/>
      <c r="C129" s="4"/>
    </row>
    <row r="130" spans="1:3" s="26" customFormat="1">
      <c r="A130" s="4"/>
      <c r="B130" s="4"/>
      <c r="C130" s="4"/>
    </row>
    <row r="131" spans="1:3" s="26" customFormat="1">
      <c r="A131" s="4"/>
      <c r="B131" s="4"/>
      <c r="C131" s="4"/>
    </row>
    <row r="132" spans="1:3" s="26" customFormat="1">
      <c r="A132" s="4"/>
      <c r="B132" s="4"/>
      <c r="C132" s="4"/>
    </row>
    <row r="133" spans="1:3" s="26" customFormat="1">
      <c r="A133" s="4"/>
      <c r="B133" s="4"/>
      <c r="C133" s="4"/>
    </row>
    <row r="134" spans="1:3" s="26" customFormat="1">
      <c r="A134" s="4"/>
      <c r="B134" s="4"/>
      <c r="C134" s="4"/>
    </row>
    <row r="135" spans="1:3" s="26" customFormat="1">
      <c r="A135" s="4"/>
      <c r="B135" s="4"/>
      <c r="C135" s="4"/>
    </row>
    <row r="136" spans="1:3" s="26" customFormat="1">
      <c r="A136" s="4"/>
      <c r="B136" s="4"/>
      <c r="C136" s="4"/>
    </row>
    <row r="137" spans="1:3" s="26" customFormat="1">
      <c r="A137" s="4"/>
      <c r="B137" s="4"/>
      <c r="C137" s="4"/>
    </row>
    <row r="138" spans="1:3" s="26" customFormat="1">
      <c r="A138" s="4"/>
      <c r="B138" s="4"/>
      <c r="C138" s="4"/>
    </row>
    <row r="139" spans="1:3" s="26" customFormat="1">
      <c r="A139" s="4"/>
      <c r="B139" s="4"/>
      <c r="C139" s="4"/>
    </row>
    <row r="140" spans="1:3" s="26" customFormat="1">
      <c r="A140" s="4"/>
      <c r="B140" s="4"/>
      <c r="C140" s="4"/>
    </row>
    <row r="141" spans="1:3" s="26" customFormat="1">
      <c r="A141" s="4"/>
      <c r="B141" s="4"/>
      <c r="C141" s="4"/>
    </row>
    <row r="142" spans="1:3" s="26" customFormat="1">
      <c r="A142" s="4"/>
      <c r="B142" s="4"/>
      <c r="C142" s="4"/>
    </row>
    <row r="143" spans="1:3" s="26" customFormat="1">
      <c r="A143" s="4"/>
      <c r="B143" s="4"/>
      <c r="C143" s="4"/>
    </row>
    <row r="144" spans="1:3" s="26" customFormat="1">
      <c r="A144" s="4"/>
      <c r="B144" s="4"/>
      <c r="C144" s="4"/>
    </row>
    <row r="145" spans="1:3" s="26" customFormat="1">
      <c r="A145" s="4"/>
      <c r="B145" s="4"/>
      <c r="C145" s="4"/>
    </row>
    <row r="146" spans="1:3" s="26" customFormat="1">
      <c r="A146" s="4"/>
      <c r="B146" s="4"/>
      <c r="C146" s="4"/>
    </row>
    <row r="147" spans="1:3" s="26" customFormat="1">
      <c r="A147" s="4"/>
      <c r="B147" s="4"/>
      <c r="C147" s="4"/>
    </row>
    <row r="148" spans="1:3" s="26" customFormat="1">
      <c r="A148" s="4"/>
      <c r="B148" s="4"/>
      <c r="C148" s="4"/>
    </row>
    <row r="149" spans="1:3" s="26" customFormat="1">
      <c r="A149" s="4"/>
      <c r="B149" s="4"/>
      <c r="C149" s="4"/>
    </row>
    <row r="150" spans="1:3" s="26" customFormat="1">
      <c r="A150" s="4"/>
      <c r="B150" s="4"/>
      <c r="C150" s="4"/>
    </row>
    <row r="151" spans="1:3" s="26" customFormat="1">
      <c r="A151" s="4"/>
      <c r="B151" s="4"/>
      <c r="C151" s="4"/>
    </row>
    <row r="152" spans="1:3" s="26" customFormat="1">
      <c r="A152" s="4"/>
      <c r="B152" s="4"/>
      <c r="C152" s="4"/>
    </row>
    <row r="153" spans="1:3" s="26" customFormat="1">
      <c r="A153" s="4"/>
      <c r="B153" s="4"/>
      <c r="C153" s="4"/>
    </row>
    <row r="154" spans="1:3" s="26" customFormat="1">
      <c r="A154" s="4"/>
      <c r="B154" s="4"/>
      <c r="C154" s="4"/>
    </row>
    <row r="155" spans="1:3" s="26" customFormat="1">
      <c r="A155" s="4"/>
      <c r="B155" s="4"/>
      <c r="C155" s="4"/>
    </row>
    <row r="156" spans="1:3" s="26" customFormat="1">
      <c r="A156" s="4"/>
      <c r="B156" s="4"/>
      <c r="C156" s="4"/>
    </row>
    <row r="157" spans="1:3" s="26" customFormat="1">
      <c r="A157" s="4"/>
      <c r="B157" s="4"/>
      <c r="C157" s="4"/>
    </row>
    <row r="158" spans="1:3" s="26" customFormat="1">
      <c r="A158" s="4"/>
      <c r="B158" s="4"/>
      <c r="C158" s="4"/>
    </row>
    <row r="159" spans="1:3" s="26" customFormat="1">
      <c r="A159" s="4"/>
      <c r="B159" s="4"/>
      <c r="C159" s="4"/>
    </row>
    <row r="160" spans="1:3" s="26" customFormat="1">
      <c r="A160" s="4"/>
      <c r="B160" s="4"/>
      <c r="C160" s="4"/>
    </row>
    <row r="161" spans="1:3" s="26" customFormat="1">
      <c r="A161" s="4"/>
      <c r="B161" s="4"/>
      <c r="C161" s="4"/>
    </row>
    <row r="162" spans="1:3" s="26" customFormat="1">
      <c r="A162" s="4"/>
      <c r="B162" s="4"/>
      <c r="C162" s="4"/>
    </row>
    <row r="163" spans="1:3" s="26" customFormat="1">
      <c r="A163" s="4"/>
      <c r="B163" s="4"/>
      <c r="C163" s="4"/>
    </row>
    <row r="164" spans="1:3" s="26" customFormat="1">
      <c r="A164" s="4"/>
      <c r="B164" s="4"/>
      <c r="C164" s="4"/>
    </row>
    <row r="165" spans="1:3" s="26" customFormat="1">
      <c r="A165" s="4"/>
      <c r="B165" s="4"/>
      <c r="C165" s="4"/>
    </row>
    <row r="166" spans="1:3" s="26" customFormat="1">
      <c r="A166" s="4"/>
      <c r="B166" s="4"/>
      <c r="C166" s="4"/>
    </row>
    <row r="167" spans="1:3" s="26" customFormat="1">
      <c r="A167" s="4"/>
      <c r="B167" s="4"/>
      <c r="C167" s="4"/>
    </row>
    <row r="168" spans="1:3" s="26" customFormat="1">
      <c r="A168" s="4"/>
      <c r="B168" s="4"/>
      <c r="C168" s="4"/>
    </row>
    <row r="169" spans="1:3" s="26" customFormat="1">
      <c r="A169" s="4"/>
      <c r="B169" s="4"/>
      <c r="C169" s="4"/>
    </row>
    <row r="170" spans="1:3" s="26" customFormat="1">
      <c r="A170" s="4"/>
      <c r="B170" s="4"/>
      <c r="C170" s="4"/>
    </row>
    <row r="171" spans="1:3" s="26" customFormat="1">
      <c r="A171" s="4"/>
      <c r="B171" s="4"/>
      <c r="C171" s="4"/>
    </row>
    <row r="172" spans="1:3" s="26" customFormat="1">
      <c r="A172" s="4"/>
      <c r="B172" s="4"/>
      <c r="C172" s="4"/>
    </row>
    <row r="173" spans="1:3" s="26" customFormat="1">
      <c r="A173" s="4"/>
      <c r="B173" s="4"/>
      <c r="C173" s="4"/>
    </row>
    <row r="174" spans="1:3" s="26" customFormat="1">
      <c r="A174" s="4"/>
      <c r="B174" s="4"/>
      <c r="C174" s="4"/>
    </row>
    <row r="175" spans="1:3" s="26" customFormat="1">
      <c r="A175" s="4"/>
      <c r="B175" s="4"/>
      <c r="C175" s="4"/>
    </row>
    <row r="176" spans="1:3" s="26" customFormat="1">
      <c r="A176" s="4"/>
      <c r="B176" s="4"/>
      <c r="C176" s="4"/>
    </row>
    <row r="177" spans="1:3" s="26" customFormat="1">
      <c r="A177" s="4"/>
      <c r="B177" s="4"/>
      <c r="C177" s="4"/>
    </row>
    <row r="178" spans="1:3" s="26" customFormat="1">
      <c r="A178" s="4"/>
      <c r="B178" s="4"/>
      <c r="C178" s="4"/>
    </row>
    <row r="179" spans="1:3" s="26" customFormat="1">
      <c r="A179" s="4"/>
      <c r="B179" s="4"/>
      <c r="C179" s="4"/>
    </row>
    <row r="180" spans="1:3" s="26" customFormat="1">
      <c r="A180" s="4"/>
      <c r="B180" s="4"/>
      <c r="C180" s="4"/>
    </row>
    <row r="181" spans="1:3" s="26" customFormat="1">
      <c r="A181" s="4"/>
      <c r="B181" s="4"/>
      <c r="C181" s="4"/>
    </row>
    <row r="182" spans="1:3" s="26" customFormat="1">
      <c r="A182" s="4"/>
      <c r="B182" s="4"/>
      <c r="C182" s="4"/>
    </row>
    <row r="183" spans="1:3" s="26" customFormat="1">
      <c r="A183" s="4"/>
      <c r="B183" s="4"/>
      <c r="C183" s="4"/>
    </row>
    <row r="184" spans="1:3" s="26" customFormat="1">
      <c r="A184" s="4"/>
      <c r="B184" s="4"/>
      <c r="C184" s="4"/>
    </row>
    <row r="185" spans="1:3" s="26" customFormat="1">
      <c r="A185" s="4"/>
      <c r="B185" s="4"/>
      <c r="C185" s="4"/>
    </row>
    <row r="186" spans="1:3" s="26" customFormat="1">
      <c r="A186" s="4"/>
      <c r="B186" s="4"/>
      <c r="C186" s="4"/>
    </row>
    <row r="187" spans="1:3" s="26" customFormat="1">
      <c r="A187" s="4"/>
      <c r="B187" s="4"/>
      <c r="C187" s="4"/>
    </row>
    <row r="188" spans="1:3" s="26" customFormat="1">
      <c r="A188" s="4"/>
      <c r="B188" s="4"/>
      <c r="C188" s="4"/>
    </row>
    <row r="189" spans="1:3" s="26" customFormat="1">
      <c r="A189" s="4"/>
      <c r="B189" s="4"/>
      <c r="C189" s="4"/>
    </row>
    <row r="190" spans="1:3" s="26" customFormat="1">
      <c r="A190" s="4"/>
      <c r="B190" s="4"/>
      <c r="C190" s="4"/>
    </row>
    <row r="191" spans="1:3" s="26" customFormat="1">
      <c r="A191" s="4"/>
      <c r="B191" s="4"/>
      <c r="C191" s="4"/>
    </row>
    <row r="192" spans="1:3" s="26" customFormat="1">
      <c r="A192" s="4"/>
      <c r="B192" s="4"/>
      <c r="C192" s="4"/>
    </row>
    <row r="193" spans="1:3">
      <c r="A193" s="4"/>
      <c r="B193" s="4"/>
      <c r="C193" s="4"/>
    </row>
    <row r="194" spans="1:3">
      <c r="A194" s="4"/>
      <c r="B194" s="4"/>
      <c r="C194" s="4"/>
    </row>
    <row r="195" spans="1:3">
      <c r="A195" s="4"/>
      <c r="B195" s="4"/>
      <c r="C195" s="4"/>
    </row>
    <row r="196" spans="1:3">
      <c r="A196" s="4"/>
      <c r="B196" s="4"/>
      <c r="C196" s="4"/>
    </row>
    <row r="197" spans="1:3">
      <c r="A197" s="4"/>
      <c r="B197" s="4"/>
      <c r="C197" s="4"/>
    </row>
    <row r="198" spans="1:3">
      <c r="A198" s="4"/>
      <c r="B198" s="4"/>
      <c r="C198" s="4"/>
    </row>
    <row r="199" spans="1:3">
      <c r="A199" s="4"/>
      <c r="B199" s="4"/>
      <c r="C199" s="4"/>
    </row>
    <row r="200" spans="1:3">
      <c r="A200" s="4"/>
      <c r="B200" s="4"/>
      <c r="C200" s="4"/>
    </row>
    <row r="201" spans="1:3">
      <c r="A201" s="4"/>
      <c r="B201" s="4"/>
      <c r="C201" s="4"/>
    </row>
    <row r="202" spans="1:3">
      <c r="A202" s="4"/>
      <c r="B202" s="4"/>
      <c r="C202" s="4"/>
    </row>
    <row r="203" spans="1:3">
      <c r="A203" s="4"/>
      <c r="B203" s="4"/>
      <c r="C203" s="4"/>
    </row>
    <row r="204" spans="1:3">
      <c r="A204" s="4"/>
      <c r="B204" s="4"/>
      <c r="C204" s="4"/>
    </row>
    <row r="205" spans="1:3">
      <c r="A205" s="4"/>
      <c r="B205" s="4"/>
      <c r="C205" s="4"/>
    </row>
    <row r="206" spans="1:3">
      <c r="A206" s="4"/>
      <c r="B206" s="4"/>
      <c r="C206" s="4"/>
    </row>
    <row r="207" spans="1:3">
      <c r="A207" s="4"/>
      <c r="B207" s="4"/>
      <c r="C207" s="4"/>
    </row>
    <row r="208" spans="1:3">
      <c r="A208" s="4"/>
      <c r="B208" s="4"/>
      <c r="C208" s="4"/>
    </row>
    <row r="209" spans="1:3">
      <c r="A209" s="4"/>
      <c r="B209" s="4"/>
      <c r="C209" s="4"/>
    </row>
    <row r="210" spans="1:3">
      <c r="A210" s="4"/>
      <c r="B210" s="4"/>
      <c r="C210" s="4"/>
    </row>
    <row r="211" spans="1:3">
      <c r="A211" s="4"/>
      <c r="B211" s="4"/>
      <c r="C211" s="4"/>
    </row>
    <row r="212" spans="1:3">
      <c r="A212" s="4"/>
      <c r="B212" s="4"/>
      <c r="C212" s="4"/>
    </row>
    <row r="213" spans="1:3">
      <c r="A213" s="4"/>
      <c r="B213" s="4"/>
      <c r="C213" s="4"/>
    </row>
  </sheetData>
  <phoneticPr fontId="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5FCC7-363A-4CDA-B7F9-05455068FB09}">
  <sheetPr>
    <tabColor theme="0"/>
  </sheetPr>
  <dimension ref="A1:GZ213"/>
  <sheetViews>
    <sheetView topLeftCell="A18" workbookViewId="0">
      <selection activeCell="I2" sqref="I2"/>
    </sheetView>
  </sheetViews>
  <sheetFormatPr defaultRowHeight="14.25" outlineLevelCol="1"/>
  <cols>
    <col min="1" max="1" width="7.42578125" style="243" customWidth="1"/>
    <col min="2" max="2" width="15.42578125" style="243" customWidth="1"/>
    <col min="3" max="3" width="12.140625" style="243" customWidth="1"/>
    <col min="4" max="4" width="12.140625" style="243" hidden="1" customWidth="1" outlineLevel="1"/>
    <col min="5" max="5" width="12.140625" style="243" customWidth="1" collapsed="1"/>
    <col min="6" max="6" width="21.85546875" customWidth="1"/>
    <col min="7" max="7" width="9" hidden="1" customWidth="1" outlineLevel="1"/>
    <col min="8" max="8" width="9" collapsed="1"/>
    <col min="9" max="9" width="14.7109375" customWidth="1"/>
    <col min="10" max="10" width="0" hidden="1" customWidth="1" outlineLevel="1"/>
    <col min="11" max="11" width="9" collapsed="1"/>
    <col min="12" max="12" width="14.5703125" customWidth="1"/>
    <col min="13" max="208" width="9" style="26"/>
  </cols>
  <sheetData>
    <row r="1" spans="1:12" ht="25.9">
      <c r="A1" s="298" t="s">
        <v>278</v>
      </c>
      <c r="B1" s="260" t="s">
        <v>279</v>
      </c>
      <c r="C1" s="260" t="s">
        <v>280</v>
      </c>
      <c r="D1" s="260" t="s">
        <v>282</v>
      </c>
      <c r="E1" s="260" t="s">
        <v>684</v>
      </c>
      <c r="F1" s="7" t="s">
        <v>685</v>
      </c>
      <c r="G1" s="260" t="s">
        <v>282</v>
      </c>
      <c r="H1" s="260" t="s">
        <v>684</v>
      </c>
      <c r="I1" s="227" t="s">
        <v>686</v>
      </c>
      <c r="J1" s="260" t="s">
        <v>282</v>
      </c>
      <c r="K1" s="260" t="s">
        <v>684</v>
      </c>
      <c r="L1" s="261" t="s">
        <v>687</v>
      </c>
    </row>
    <row r="2" spans="1:12">
      <c r="A2" s="299">
        <v>0</v>
      </c>
      <c r="B2" s="243" t="s">
        <v>567</v>
      </c>
      <c r="C2" s="243" t="s">
        <v>568</v>
      </c>
      <c r="D2" s="65" t="s">
        <v>569</v>
      </c>
      <c r="E2" s="243" t="s">
        <v>688</v>
      </c>
      <c r="F2" s="301">
        <v>11.15</v>
      </c>
      <c r="G2" s="65" t="s">
        <v>689</v>
      </c>
      <c r="H2" t="s">
        <v>690</v>
      </c>
      <c r="I2" s="301">
        <v>42</v>
      </c>
      <c r="L2" s="302"/>
    </row>
    <row r="3" spans="1:12">
      <c r="A3" s="299">
        <v>1</v>
      </c>
      <c r="B3" s="243" t="s">
        <v>304</v>
      </c>
      <c r="C3" s="243" t="s">
        <v>305</v>
      </c>
      <c r="L3" s="302"/>
    </row>
    <row r="4" spans="1:12">
      <c r="A4" s="299">
        <v>2</v>
      </c>
      <c r="B4" s="243" t="s">
        <v>314</v>
      </c>
      <c r="C4" s="243" t="s">
        <v>315</v>
      </c>
      <c r="L4" s="302"/>
    </row>
    <row r="5" spans="1:12">
      <c r="A5" s="299">
        <v>3</v>
      </c>
      <c r="B5" s="243" t="s">
        <v>321</v>
      </c>
      <c r="C5" s="243" t="s">
        <v>322</v>
      </c>
      <c r="D5" s="65" t="s">
        <v>691</v>
      </c>
      <c r="E5" s="243" t="s">
        <v>692</v>
      </c>
      <c r="F5" s="301">
        <v>8.74</v>
      </c>
      <c r="J5" s="65" t="s">
        <v>693</v>
      </c>
      <c r="K5" t="s">
        <v>694</v>
      </c>
      <c r="L5" s="302">
        <v>12</v>
      </c>
    </row>
    <row r="6" spans="1:12">
      <c r="A6" s="299">
        <v>4</v>
      </c>
      <c r="B6" s="243" t="s">
        <v>327</v>
      </c>
      <c r="C6" s="243" t="s">
        <v>328</v>
      </c>
      <c r="D6" s="65" t="s">
        <v>691</v>
      </c>
      <c r="E6" s="243" t="s">
        <v>692</v>
      </c>
      <c r="F6" s="301">
        <v>8.74</v>
      </c>
      <c r="L6" s="302"/>
    </row>
    <row r="7" spans="1:12">
      <c r="A7" s="299">
        <v>5</v>
      </c>
      <c r="B7" s="243" t="s">
        <v>332</v>
      </c>
      <c r="C7" s="243" t="s">
        <v>333</v>
      </c>
      <c r="D7" s="65" t="s">
        <v>691</v>
      </c>
      <c r="E7" s="243" t="s">
        <v>692</v>
      </c>
      <c r="F7" s="301">
        <v>8.74</v>
      </c>
      <c r="G7" s="65" t="s">
        <v>695</v>
      </c>
      <c r="H7" t="s">
        <v>696</v>
      </c>
      <c r="I7" s="301">
        <v>30</v>
      </c>
      <c r="J7" s="65" t="s">
        <v>697</v>
      </c>
      <c r="L7" s="302">
        <v>29</v>
      </c>
    </row>
    <row r="8" spans="1:12">
      <c r="A8" s="299">
        <v>6</v>
      </c>
      <c r="B8" s="243" t="s">
        <v>337</v>
      </c>
      <c r="C8" s="243" t="s">
        <v>338</v>
      </c>
      <c r="D8" s="65" t="s">
        <v>691</v>
      </c>
      <c r="E8" s="243" t="s">
        <v>692</v>
      </c>
      <c r="F8" s="301">
        <v>8.74</v>
      </c>
      <c r="G8" s="65" t="s">
        <v>698</v>
      </c>
      <c r="I8" s="301">
        <v>50</v>
      </c>
      <c r="L8" s="302"/>
    </row>
    <row r="9" spans="1:12">
      <c r="A9" s="299">
        <v>7</v>
      </c>
      <c r="B9" s="243" t="s">
        <v>342</v>
      </c>
      <c r="C9" s="243" t="s">
        <v>343</v>
      </c>
      <c r="D9" s="65" t="s">
        <v>691</v>
      </c>
      <c r="E9" s="243" t="s">
        <v>692</v>
      </c>
      <c r="F9" s="301">
        <v>8.74</v>
      </c>
      <c r="G9" s="65" t="s">
        <v>698</v>
      </c>
      <c r="I9" s="301">
        <v>60</v>
      </c>
      <c r="L9" s="302"/>
    </row>
    <row r="10" spans="1:12">
      <c r="A10" s="299">
        <v>8</v>
      </c>
      <c r="B10" s="243" t="s">
        <v>348</v>
      </c>
      <c r="C10" s="243" t="s">
        <v>349</v>
      </c>
      <c r="D10" s="65" t="s">
        <v>691</v>
      </c>
      <c r="E10" s="243" t="s">
        <v>692</v>
      </c>
      <c r="F10" s="301">
        <v>8.74</v>
      </c>
      <c r="L10" s="302"/>
    </row>
    <row r="11" spans="1:12">
      <c r="A11" s="299">
        <v>9</v>
      </c>
      <c r="B11" s="243" t="s">
        <v>353</v>
      </c>
      <c r="C11" s="243" t="s">
        <v>354</v>
      </c>
      <c r="D11" s="65" t="s">
        <v>691</v>
      </c>
      <c r="E11" s="243" t="s">
        <v>692</v>
      </c>
      <c r="F11" s="301">
        <v>8.74</v>
      </c>
      <c r="G11" s="65" t="s">
        <v>698</v>
      </c>
      <c r="I11" s="301">
        <v>15</v>
      </c>
      <c r="J11" s="65" t="s">
        <v>699</v>
      </c>
      <c r="L11" s="302">
        <v>25</v>
      </c>
    </row>
    <row r="12" spans="1:12">
      <c r="A12" s="299">
        <v>10</v>
      </c>
      <c r="B12" s="243" t="s">
        <v>358</v>
      </c>
      <c r="C12" s="243" t="s">
        <v>359</v>
      </c>
      <c r="D12" s="65" t="s">
        <v>691</v>
      </c>
      <c r="E12" s="243" t="s">
        <v>692</v>
      </c>
      <c r="F12" s="301">
        <v>8.74</v>
      </c>
      <c r="I12" s="301">
        <v>50</v>
      </c>
      <c r="L12" s="302"/>
    </row>
    <row r="13" spans="1:12">
      <c r="A13" s="299">
        <v>11</v>
      </c>
      <c r="B13" s="243" t="s">
        <v>363</v>
      </c>
      <c r="C13" s="243" t="s">
        <v>364</v>
      </c>
      <c r="J13" s="65" t="s">
        <v>700</v>
      </c>
      <c r="K13" t="s">
        <v>701</v>
      </c>
      <c r="L13" s="302">
        <v>45</v>
      </c>
    </row>
    <row r="14" spans="1:12">
      <c r="A14" s="299">
        <v>12</v>
      </c>
      <c r="B14" s="243" t="s">
        <v>368</v>
      </c>
      <c r="C14" s="243" t="s">
        <v>278</v>
      </c>
      <c r="D14" s="65" t="s">
        <v>691</v>
      </c>
      <c r="E14" s="243" t="s">
        <v>692</v>
      </c>
      <c r="F14" s="301">
        <v>8.74</v>
      </c>
      <c r="L14" s="302"/>
    </row>
    <row r="15" spans="1:12">
      <c r="A15" s="299">
        <v>13</v>
      </c>
      <c r="B15" s="243" t="s">
        <v>372</v>
      </c>
      <c r="C15" s="243" t="s">
        <v>373</v>
      </c>
      <c r="D15" s="65" t="s">
        <v>691</v>
      </c>
      <c r="E15" s="243" t="s">
        <v>692</v>
      </c>
      <c r="F15" s="301">
        <v>8.74</v>
      </c>
      <c r="L15" s="302"/>
    </row>
    <row r="16" spans="1:12">
      <c r="A16" s="299">
        <v>14</v>
      </c>
      <c r="B16" s="243" t="s">
        <v>378</v>
      </c>
      <c r="C16" s="243" t="s">
        <v>379</v>
      </c>
      <c r="D16" s="65" t="s">
        <v>691</v>
      </c>
      <c r="E16" s="243" t="s">
        <v>692</v>
      </c>
      <c r="F16" s="301">
        <v>8.74</v>
      </c>
      <c r="L16" s="302"/>
    </row>
    <row r="17" spans="1:12">
      <c r="A17" s="299">
        <v>15</v>
      </c>
      <c r="B17" s="243" t="s">
        <v>383</v>
      </c>
      <c r="C17" s="243" t="s">
        <v>384</v>
      </c>
      <c r="D17" s="65" t="s">
        <v>691</v>
      </c>
      <c r="E17" s="243" t="s">
        <v>692</v>
      </c>
      <c r="F17" s="301">
        <v>8.74</v>
      </c>
      <c r="L17" s="302"/>
    </row>
    <row r="18" spans="1:12">
      <c r="A18" s="299">
        <v>16</v>
      </c>
      <c r="B18" s="243" t="s">
        <v>388</v>
      </c>
      <c r="C18" s="243" t="s">
        <v>389</v>
      </c>
      <c r="D18" s="65" t="s">
        <v>691</v>
      </c>
      <c r="E18" s="243" t="s">
        <v>692</v>
      </c>
      <c r="F18" s="301">
        <v>8.74</v>
      </c>
      <c r="L18" s="302"/>
    </row>
    <row r="19" spans="1:12">
      <c r="A19" s="299">
        <v>17</v>
      </c>
      <c r="B19" s="243" t="s">
        <v>393</v>
      </c>
      <c r="C19" s="243" t="s">
        <v>394</v>
      </c>
      <c r="D19" s="65" t="s">
        <v>691</v>
      </c>
      <c r="E19" s="243" t="s">
        <v>692</v>
      </c>
      <c r="F19" s="301">
        <v>8.74</v>
      </c>
      <c r="L19" s="302"/>
    </row>
    <row r="20" spans="1:12">
      <c r="A20" s="299">
        <v>18</v>
      </c>
      <c r="B20" s="243" t="s">
        <v>398</v>
      </c>
      <c r="C20" s="243" t="s">
        <v>399</v>
      </c>
      <c r="D20" s="65" t="s">
        <v>702</v>
      </c>
      <c r="E20" s="243" t="s">
        <v>703</v>
      </c>
      <c r="F20" s="301">
        <v>8.49</v>
      </c>
      <c r="L20" s="302"/>
    </row>
    <row r="21" spans="1:12">
      <c r="A21" s="299">
        <v>19</v>
      </c>
      <c r="B21" s="243" t="s">
        <v>403</v>
      </c>
      <c r="C21" s="243" t="s">
        <v>404</v>
      </c>
      <c r="D21" s="65" t="s">
        <v>691</v>
      </c>
      <c r="E21" s="243" t="s">
        <v>692</v>
      </c>
      <c r="F21" s="301">
        <v>8.74</v>
      </c>
      <c r="L21" s="302"/>
    </row>
    <row r="22" spans="1:12">
      <c r="A22" s="299">
        <v>20</v>
      </c>
      <c r="B22" s="243" t="s">
        <v>408</v>
      </c>
      <c r="C22" s="243" t="s">
        <v>409</v>
      </c>
      <c r="D22" s="65" t="s">
        <v>691</v>
      </c>
      <c r="E22" s="243" t="s">
        <v>692</v>
      </c>
      <c r="F22" s="301">
        <v>8.74</v>
      </c>
      <c r="L22" s="302"/>
    </row>
    <row r="23" spans="1:12">
      <c r="A23" s="299">
        <v>21</v>
      </c>
      <c r="B23" s="243" t="s">
        <v>413</v>
      </c>
      <c r="C23" s="243" t="s">
        <v>414</v>
      </c>
      <c r="D23" s="65" t="s">
        <v>691</v>
      </c>
      <c r="E23" s="243" t="s">
        <v>692</v>
      </c>
      <c r="F23" s="301">
        <v>8.74</v>
      </c>
      <c r="J23" s="65" t="s">
        <v>704</v>
      </c>
      <c r="K23" t="s">
        <v>705</v>
      </c>
      <c r="L23" s="302">
        <v>60</v>
      </c>
    </row>
    <row r="24" spans="1:12">
      <c r="A24" s="299">
        <v>22</v>
      </c>
      <c r="B24" s="243" t="s">
        <v>418</v>
      </c>
      <c r="C24" s="243" t="s">
        <v>419</v>
      </c>
      <c r="D24" s="65" t="s">
        <v>691</v>
      </c>
      <c r="E24" s="243" t="s">
        <v>692</v>
      </c>
      <c r="F24" s="301">
        <v>8.74</v>
      </c>
      <c r="L24" s="302"/>
    </row>
    <row r="25" spans="1:12">
      <c r="A25" s="299">
        <v>23</v>
      </c>
      <c r="B25" s="243" t="s">
        <v>424</v>
      </c>
      <c r="C25" s="243" t="s">
        <v>425</v>
      </c>
      <c r="D25" s="65" t="s">
        <v>691</v>
      </c>
      <c r="E25" s="243" t="s">
        <v>692</v>
      </c>
      <c r="F25" s="301">
        <v>8.74</v>
      </c>
      <c r="G25" s="65" t="s">
        <v>698</v>
      </c>
      <c r="I25" s="301">
        <v>30</v>
      </c>
      <c r="L25" s="302"/>
    </row>
    <row r="26" spans="1:12">
      <c r="A26" s="299">
        <v>24</v>
      </c>
      <c r="B26" s="243" t="s">
        <v>429</v>
      </c>
      <c r="C26" s="243" t="s">
        <v>430</v>
      </c>
      <c r="D26" s="65" t="s">
        <v>691</v>
      </c>
      <c r="E26" s="243" t="s">
        <v>692</v>
      </c>
      <c r="F26" s="301">
        <v>8.74</v>
      </c>
      <c r="G26" s="65"/>
      <c r="I26" s="301"/>
      <c r="L26" s="302"/>
    </row>
    <row r="27" spans="1:12">
      <c r="A27" s="299">
        <v>25</v>
      </c>
      <c r="B27" s="243" t="s">
        <v>434</v>
      </c>
      <c r="C27" s="243" t="s">
        <v>435</v>
      </c>
      <c r="D27" s="65" t="s">
        <v>691</v>
      </c>
      <c r="E27" s="243" t="s">
        <v>692</v>
      </c>
      <c r="F27" s="301">
        <v>8.74</v>
      </c>
      <c r="L27" s="302"/>
    </row>
    <row r="28" spans="1:12">
      <c r="A28" s="299">
        <v>26</v>
      </c>
      <c r="B28" s="243" t="s">
        <v>439</v>
      </c>
      <c r="C28" s="243" t="s">
        <v>440</v>
      </c>
      <c r="D28" s="65" t="s">
        <v>691</v>
      </c>
      <c r="E28" s="243" t="s">
        <v>692</v>
      </c>
      <c r="F28" s="301">
        <v>8.74</v>
      </c>
      <c r="L28" s="302"/>
    </row>
    <row r="29" spans="1:12">
      <c r="A29" s="299">
        <v>27</v>
      </c>
      <c r="B29" s="243" t="s">
        <v>444</v>
      </c>
      <c r="C29" s="243" t="s">
        <v>445</v>
      </c>
      <c r="D29" s="65" t="s">
        <v>691</v>
      </c>
      <c r="E29" s="243" t="s">
        <v>692</v>
      </c>
      <c r="F29" s="301">
        <v>8.74</v>
      </c>
      <c r="L29" s="302"/>
    </row>
    <row r="30" spans="1:12">
      <c r="A30" s="299">
        <v>28</v>
      </c>
      <c r="B30" s="243" t="s">
        <v>449</v>
      </c>
      <c r="C30" s="243" t="s">
        <v>450</v>
      </c>
      <c r="D30" s="65" t="s">
        <v>691</v>
      </c>
      <c r="E30" s="243" t="s">
        <v>692</v>
      </c>
      <c r="F30" s="301">
        <v>8.74</v>
      </c>
      <c r="L30" s="302"/>
    </row>
    <row r="31" spans="1:12">
      <c r="A31" s="299">
        <v>29</v>
      </c>
      <c r="B31" s="243" t="s">
        <v>454</v>
      </c>
      <c r="C31" s="243" t="s">
        <v>455</v>
      </c>
      <c r="D31" s="65" t="s">
        <v>691</v>
      </c>
      <c r="E31" s="243" t="s">
        <v>692</v>
      </c>
      <c r="F31" s="301">
        <v>8.74</v>
      </c>
      <c r="L31" s="302"/>
    </row>
    <row r="32" spans="1:12">
      <c r="A32" s="299">
        <v>30</v>
      </c>
      <c r="B32" s="243" t="s">
        <v>459</v>
      </c>
      <c r="C32" s="243" t="s">
        <v>460</v>
      </c>
      <c r="D32" s="65" t="s">
        <v>691</v>
      </c>
      <c r="E32" s="243" t="s">
        <v>692</v>
      </c>
      <c r="F32" s="301">
        <v>8.74</v>
      </c>
      <c r="L32" s="302"/>
    </row>
    <row r="33" spans="1:12">
      <c r="A33" s="299">
        <v>31</v>
      </c>
      <c r="B33" s="243" t="s">
        <v>464</v>
      </c>
      <c r="C33" s="243" t="s">
        <v>465</v>
      </c>
      <c r="D33" s="65" t="s">
        <v>706</v>
      </c>
      <c r="E33" s="243" t="s">
        <v>707</v>
      </c>
      <c r="F33" s="301">
        <v>6.97</v>
      </c>
      <c r="L33" s="302"/>
    </row>
    <row r="34" spans="1:12">
      <c r="A34" s="299">
        <v>32</v>
      </c>
      <c r="B34" s="243" t="s">
        <v>469</v>
      </c>
      <c r="C34" s="243" t="s">
        <v>470</v>
      </c>
      <c r="D34" s="65" t="s">
        <v>691</v>
      </c>
      <c r="E34" s="243" t="s">
        <v>692</v>
      </c>
      <c r="F34" s="301">
        <v>8.74</v>
      </c>
      <c r="G34" s="65" t="s">
        <v>698</v>
      </c>
      <c r="I34" s="301">
        <v>50</v>
      </c>
      <c r="L34" s="302"/>
    </row>
    <row r="35" spans="1:12">
      <c r="A35" s="299">
        <v>33</v>
      </c>
      <c r="B35" s="243" t="s">
        <v>474</v>
      </c>
      <c r="C35" s="243" t="s">
        <v>475</v>
      </c>
      <c r="D35" s="65" t="s">
        <v>708</v>
      </c>
      <c r="F35" s="301">
        <v>7.92</v>
      </c>
      <c r="G35" s="65" t="s">
        <v>698</v>
      </c>
      <c r="I35" s="301">
        <v>50</v>
      </c>
      <c r="J35" s="65" t="s">
        <v>709</v>
      </c>
      <c r="L35" s="302">
        <v>35</v>
      </c>
    </row>
    <row r="36" spans="1:12">
      <c r="A36" s="299">
        <v>34</v>
      </c>
      <c r="B36" s="243" t="s">
        <v>479</v>
      </c>
      <c r="C36" s="243" t="s">
        <v>480</v>
      </c>
      <c r="D36" s="65" t="s">
        <v>691</v>
      </c>
      <c r="E36" s="243" t="s">
        <v>692</v>
      </c>
      <c r="F36" s="301">
        <v>8.74</v>
      </c>
      <c r="L36" s="302"/>
    </row>
    <row r="37" spans="1:12">
      <c r="A37" s="299">
        <v>35</v>
      </c>
      <c r="B37" s="243" t="s">
        <v>484</v>
      </c>
      <c r="C37" s="243" t="s">
        <v>485</v>
      </c>
      <c r="D37" s="65" t="s">
        <v>691</v>
      </c>
      <c r="E37" s="243" t="s">
        <v>692</v>
      </c>
      <c r="F37" s="301">
        <v>8.74</v>
      </c>
      <c r="I37" s="301">
        <v>30</v>
      </c>
      <c r="L37" s="302"/>
    </row>
    <row r="38" spans="1:12">
      <c r="A38" s="299">
        <v>36</v>
      </c>
      <c r="B38" s="243" t="s">
        <v>141</v>
      </c>
      <c r="C38" s="243" t="s">
        <v>489</v>
      </c>
      <c r="D38" s="65" t="s">
        <v>691</v>
      </c>
      <c r="E38" s="243" t="s">
        <v>692</v>
      </c>
      <c r="F38" s="301">
        <v>8.74</v>
      </c>
      <c r="L38" s="302"/>
    </row>
    <row r="39" spans="1:12">
      <c r="A39" s="299">
        <v>37</v>
      </c>
      <c r="B39" s="243" t="s">
        <v>493</v>
      </c>
      <c r="C39" s="243" t="s">
        <v>494</v>
      </c>
      <c r="D39" s="65" t="s">
        <v>691</v>
      </c>
      <c r="E39" s="243" t="s">
        <v>692</v>
      </c>
      <c r="F39" s="301">
        <v>8.74</v>
      </c>
      <c r="L39" s="302"/>
    </row>
    <row r="40" spans="1:12">
      <c r="A40" s="299">
        <v>38</v>
      </c>
      <c r="B40" s="243" t="s">
        <v>498</v>
      </c>
      <c r="C40" s="243" t="s">
        <v>499</v>
      </c>
      <c r="D40" s="65" t="s">
        <v>691</v>
      </c>
      <c r="E40" s="243" t="s">
        <v>692</v>
      </c>
      <c r="F40" s="301">
        <v>8.74</v>
      </c>
      <c r="L40" s="302"/>
    </row>
    <row r="41" spans="1:12">
      <c r="A41" s="299">
        <v>39</v>
      </c>
      <c r="B41" s="243" t="s">
        <v>503</v>
      </c>
      <c r="C41" s="243" t="s">
        <v>504</v>
      </c>
      <c r="D41" s="65" t="s">
        <v>710</v>
      </c>
      <c r="E41" s="243" t="s">
        <v>711</v>
      </c>
      <c r="F41" s="301">
        <v>9.5</v>
      </c>
      <c r="L41" s="302"/>
    </row>
    <row r="42" spans="1:12">
      <c r="A42" s="299">
        <v>40</v>
      </c>
      <c r="B42" s="243" t="s">
        <v>508</v>
      </c>
      <c r="C42" s="243" t="s">
        <v>509</v>
      </c>
      <c r="D42" s="65" t="s">
        <v>691</v>
      </c>
      <c r="E42" s="243" t="s">
        <v>692</v>
      </c>
      <c r="F42" s="301">
        <v>8.74</v>
      </c>
      <c r="L42" s="302"/>
    </row>
    <row r="43" spans="1:12">
      <c r="A43" s="299">
        <v>41</v>
      </c>
      <c r="B43" s="243" t="s">
        <v>513</v>
      </c>
      <c r="C43" s="243" t="s">
        <v>514</v>
      </c>
      <c r="D43" s="65" t="s">
        <v>691</v>
      </c>
      <c r="E43" s="243" t="s">
        <v>692</v>
      </c>
      <c r="F43" s="301">
        <v>8.74</v>
      </c>
      <c r="L43" s="302"/>
    </row>
    <row r="44" spans="1:12">
      <c r="A44" s="299">
        <v>42</v>
      </c>
      <c r="B44" s="243" t="s">
        <v>518</v>
      </c>
      <c r="C44" s="243" t="s">
        <v>519</v>
      </c>
      <c r="D44" s="65" t="s">
        <v>691</v>
      </c>
      <c r="E44" s="243" t="s">
        <v>692</v>
      </c>
      <c r="F44" s="301">
        <v>8.74</v>
      </c>
      <c r="L44" s="302"/>
    </row>
    <row r="45" spans="1:12">
      <c r="A45" s="299">
        <v>43</v>
      </c>
      <c r="B45" s="243" t="s">
        <v>523</v>
      </c>
      <c r="C45" s="243" t="s">
        <v>524</v>
      </c>
      <c r="D45" s="65" t="s">
        <v>691</v>
      </c>
      <c r="E45" s="243" t="s">
        <v>692</v>
      </c>
      <c r="F45" s="301">
        <v>8.74</v>
      </c>
      <c r="G45" s="65" t="s">
        <v>698</v>
      </c>
      <c r="I45" s="301">
        <v>50</v>
      </c>
      <c r="J45" s="65" t="s">
        <v>712</v>
      </c>
      <c r="K45" t="s">
        <v>713</v>
      </c>
      <c r="L45" s="302">
        <v>12</v>
      </c>
    </row>
    <row r="46" spans="1:12">
      <c r="A46" s="299">
        <v>44</v>
      </c>
      <c r="B46" s="243" t="s">
        <v>528</v>
      </c>
      <c r="C46" s="243" t="s">
        <v>529</v>
      </c>
      <c r="D46" s="65" t="s">
        <v>691</v>
      </c>
      <c r="E46" s="243" t="s">
        <v>692</v>
      </c>
      <c r="F46" s="301">
        <v>8.74</v>
      </c>
      <c r="L46" s="302"/>
    </row>
    <row r="47" spans="1:12">
      <c r="A47" s="299">
        <v>45</v>
      </c>
      <c r="B47" s="243" t="s">
        <v>533</v>
      </c>
      <c r="C47" s="243" t="s">
        <v>534</v>
      </c>
      <c r="D47" s="65" t="s">
        <v>691</v>
      </c>
      <c r="E47" s="243" t="s">
        <v>692</v>
      </c>
      <c r="F47" s="301">
        <v>8.74</v>
      </c>
      <c r="L47" s="302"/>
    </row>
    <row r="48" spans="1:12">
      <c r="A48" s="299">
        <v>46</v>
      </c>
      <c r="B48" s="243" t="s">
        <v>538</v>
      </c>
      <c r="C48" s="243" t="s">
        <v>539</v>
      </c>
      <c r="D48" s="65" t="s">
        <v>691</v>
      </c>
      <c r="E48" s="243" t="s">
        <v>692</v>
      </c>
      <c r="F48" s="301">
        <v>8.74</v>
      </c>
      <c r="L48" s="302"/>
    </row>
    <row r="49" spans="1:12">
      <c r="A49" s="299">
        <v>47</v>
      </c>
      <c r="B49" s="243" t="s">
        <v>543</v>
      </c>
      <c r="C49" s="243" t="s">
        <v>544</v>
      </c>
      <c r="D49" s="65" t="s">
        <v>691</v>
      </c>
      <c r="E49" s="243" t="s">
        <v>692</v>
      </c>
      <c r="F49" s="301">
        <v>8.74</v>
      </c>
      <c r="G49" s="65" t="s">
        <v>714</v>
      </c>
      <c r="H49" t="s">
        <v>715</v>
      </c>
      <c r="I49" s="301">
        <v>83.33</v>
      </c>
      <c r="L49" s="302"/>
    </row>
    <row r="50" spans="1:12">
      <c r="A50" s="299">
        <v>48</v>
      </c>
      <c r="B50" s="243" t="s">
        <v>548</v>
      </c>
      <c r="C50" s="243" t="s">
        <v>549</v>
      </c>
      <c r="D50" s="65" t="s">
        <v>691</v>
      </c>
      <c r="E50" s="243" t="s">
        <v>692</v>
      </c>
      <c r="F50" s="301">
        <v>8.74</v>
      </c>
      <c r="L50" s="302"/>
    </row>
    <row r="51" spans="1:12">
      <c r="A51" s="299">
        <v>49</v>
      </c>
      <c r="B51" s="243" t="s">
        <v>553</v>
      </c>
      <c r="C51" s="243" t="s">
        <v>554</v>
      </c>
      <c r="D51" s="65" t="s">
        <v>691</v>
      </c>
      <c r="E51" s="243" t="s">
        <v>692</v>
      </c>
      <c r="F51" s="301">
        <v>8.74</v>
      </c>
      <c r="L51" s="302"/>
    </row>
    <row r="52" spans="1:12">
      <c r="A52" s="300">
        <v>50</v>
      </c>
      <c r="B52" s="274" t="s">
        <v>558</v>
      </c>
      <c r="C52" s="274" t="s">
        <v>559</v>
      </c>
      <c r="D52" s="111" t="s">
        <v>691</v>
      </c>
      <c r="E52" s="274" t="s">
        <v>692</v>
      </c>
      <c r="F52" s="303">
        <v>8.74</v>
      </c>
      <c r="G52" s="133"/>
      <c r="H52" s="133"/>
      <c r="I52" s="133"/>
      <c r="J52" s="133"/>
      <c r="K52" s="133"/>
      <c r="L52" s="304"/>
    </row>
    <row r="53" spans="1:12" s="26" customFormat="1">
      <c r="A53" s="220"/>
      <c r="B53" s="220"/>
      <c r="C53" s="290" t="s">
        <v>716</v>
      </c>
      <c r="D53" s="290"/>
      <c r="E53" s="290"/>
      <c r="F53" s="305">
        <f>AVERAGE(F2:F52)</f>
        <v>8.7468750000000046</v>
      </c>
      <c r="G53" s="23"/>
      <c r="H53" s="23"/>
      <c r="I53" s="305">
        <f>AVERAGE(I2:I52)</f>
        <v>45.027500000000003</v>
      </c>
      <c r="J53" s="23"/>
      <c r="K53" s="23"/>
      <c r="L53" s="305">
        <f>AVERAGE(L2:L52)</f>
        <v>31.142857142857142</v>
      </c>
    </row>
    <row r="54" spans="1:12" s="26" customFormat="1">
      <c r="A54" s="220"/>
      <c r="B54" s="220"/>
      <c r="C54" s="220"/>
      <c r="D54" s="220"/>
      <c r="E54" s="220"/>
    </row>
    <row r="55" spans="1:12" s="26" customFormat="1">
      <c r="A55" s="220"/>
      <c r="B55" s="220"/>
      <c r="C55" s="220"/>
      <c r="D55" s="220"/>
      <c r="E55" s="220"/>
    </row>
    <row r="56" spans="1:12" s="26" customFormat="1">
      <c r="A56" s="220"/>
      <c r="B56" s="220"/>
      <c r="C56" s="220"/>
      <c r="D56" s="220"/>
      <c r="E56" s="220"/>
    </row>
    <row r="57" spans="1:12" s="26" customFormat="1">
      <c r="A57" s="220"/>
      <c r="B57" s="220"/>
      <c r="C57" s="220"/>
      <c r="D57" s="220"/>
      <c r="E57" s="220"/>
    </row>
    <row r="58" spans="1:12" s="26" customFormat="1">
      <c r="A58" s="220"/>
      <c r="B58" s="220"/>
      <c r="C58" s="220"/>
      <c r="D58" s="220"/>
      <c r="E58" s="220"/>
    </row>
    <row r="59" spans="1:12" s="26" customFormat="1">
      <c r="A59" s="220"/>
      <c r="B59" s="220"/>
      <c r="C59" s="220"/>
      <c r="D59" s="220"/>
      <c r="E59" s="220"/>
    </row>
    <row r="60" spans="1:12" s="26" customFormat="1">
      <c r="A60" s="220"/>
      <c r="B60" s="220"/>
      <c r="C60" s="220"/>
      <c r="D60" s="220"/>
      <c r="E60" s="220"/>
    </row>
    <row r="61" spans="1:12" s="26" customFormat="1">
      <c r="A61" s="220"/>
      <c r="B61" s="220"/>
      <c r="C61" s="220"/>
      <c r="D61" s="220"/>
      <c r="E61" s="220"/>
    </row>
    <row r="62" spans="1:12" s="26" customFormat="1">
      <c r="A62" s="220"/>
      <c r="B62" s="220"/>
      <c r="C62" s="220"/>
      <c r="D62" s="220"/>
      <c r="E62" s="220"/>
    </row>
    <row r="63" spans="1:12" s="26" customFormat="1">
      <c r="A63" s="220"/>
      <c r="B63" s="220"/>
      <c r="C63" s="220"/>
      <c r="D63" s="220"/>
      <c r="E63" s="220"/>
    </row>
    <row r="64" spans="1:12" s="26" customFormat="1">
      <c r="A64" s="220"/>
      <c r="B64" s="220"/>
      <c r="C64" s="220"/>
      <c r="D64" s="220"/>
      <c r="E64" s="220"/>
    </row>
    <row r="65" spans="1:5" s="26" customFormat="1">
      <c r="A65" s="220"/>
      <c r="B65" s="220"/>
      <c r="C65" s="220"/>
      <c r="D65" s="220"/>
      <c r="E65" s="220"/>
    </row>
    <row r="66" spans="1:5" s="26" customFormat="1">
      <c r="A66" s="220"/>
      <c r="B66" s="220"/>
      <c r="C66" s="220"/>
      <c r="D66" s="220"/>
      <c r="E66" s="220"/>
    </row>
    <row r="67" spans="1:5" s="26" customFormat="1">
      <c r="A67" s="220"/>
      <c r="B67" s="220"/>
      <c r="C67" s="220"/>
      <c r="D67" s="220"/>
      <c r="E67" s="220"/>
    </row>
    <row r="68" spans="1:5" s="26" customFormat="1">
      <c r="A68" s="220"/>
      <c r="B68" s="220"/>
      <c r="C68" s="220"/>
      <c r="D68" s="220"/>
      <c r="E68" s="220"/>
    </row>
    <row r="69" spans="1:5" s="26" customFormat="1">
      <c r="A69" s="220"/>
      <c r="B69" s="220"/>
      <c r="C69" s="220"/>
      <c r="D69" s="220"/>
      <c r="E69" s="220"/>
    </row>
    <row r="70" spans="1:5" s="26" customFormat="1">
      <c r="A70" s="220"/>
      <c r="B70" s="220"/>
      <c r="C70" s="220"/>
      <c r="D70" s="220"/>
      <c r="E70" s="220"/>
    </row>
    <row r="71" spans="1:5" s="26" customFormat="1">
      <c r="A71" s="220"/>
      <c r="B71" s="220"/>
      <c r="C71" s="220"/>
      <c r="D71" s="220"/>
      <c r="E71" s="220"/>
    </row>
    <row r="72" spans="1:5" s="26" customFormat="1">
      <c r="A72" s="220"/>
      <c r="B72" s="220"/>
      <c r="C72" s="220"/>
      <c r="D72" s="220"/>
      <c r="E72" s="220"/>
    </row>
    <row r="73" spans="1:5" s="26" customFormat="1">
      <c r="A73" s="220"/>
      <c r="B73" s="220"/>
      <c r="C73" s="220"/>
      <c r="D73" s="220"/>
      <c r="E73" s="220"/>
    </row>
    <row r="74" spans="1:5" s="26" customFormat="1">
      <c r="A74" s="220"/>
      <c r="B74" s="220"/>
      <c r="C74" s="220"/>
      <c r="D74" s="220"/>
      <c r="E74" s="220"/>
    </row>
    <row r="75" spans="1:5" s="26" customFormat="1">
      <c r="A75" s="220"/>
      <c r="B75" s="220"/>
      <c r="C75" s="220"/>
      <c r="D75" s="220"/>
      <c r="E75" s="220"/>
    </row>
    <row r="76" spans="1:5" s="26" customFormat="1">
      <c r="A76" s="220"/>
      <c r="B76" s="220"/>
      <c r="C76" s="220"/>
      <c r="D76" s="220"/>
      <c r="E76" s="220"/>
    </row>
    <row r="77" spans="1:5" s="26" customFormat="1">
      <c r="A77" s="220"/>
      <c r="B77" s="220"/>
      <c r="C77" s="220"/>
      <c r="D77" s="220"/>
      <c r="E77" s="220"/>
    </row>
    <row r="78" spans="1:5" s="26" customFormat="1">
      <c r="A78" s="220"/>
      <c r="B78" s="220"/>
      <c r="C78" s="220"/>
      <c r="D78" s="220"/>
      <c r="E78" s="220"/>
    </row>
    <row r="79" spans="1:5" s="26" customFormat="1">
      <c r="A79" s="220"/>
      <c r="B79" s="220"/>
      <c r="C79" s="220"/>
      <c r="D79" s="220"/>
      <c r="E79" s="220"/>
    </row>
    <row r="80" spans="1:5" s="26" customFormat="1">
      <c r="A80" s="220"/>
      <c r="B80" s="220"/>
      <c r="C80" s="220"/>
      <c r="D80" s="220"/>
      <c r="E80" s="220"/>
    </row>
    <row r="81" spans="1:5" s="26" customFormat="1">
      <c r="A81" s="220"/>
      <c r="B81" s="220"/>
      <c r="C81" s="220"/>
      <c r="D81" s="220"/>
      <c r="E81" s="220"/>
    </row>
    <row r="82" spans="1:5" s="26" customFormat="1">
      <c r="A82" s="220"/>
      <c r="B82" s="220"/>
      <c r="C82" s="220"/>
      <c r="D82" s="220"/>
      <c r="E82" s="220"/>
    </row>
    <row r="83" spans="1:5" s="26" customFormat="1">
      <c r="A83" s="220"/>
      <c r="B83" s="220"/>
      <c r="C83" s="220"/>
      <c r="D83" s="220"/>
      <c r="E83" s="220"/>
    </row>
    <row r="84" spans="1:5" s="26" customFormat="1">
      <c r="A84" s="220"/>
      <c r="B84" s="220"/>
      <c r="C84" s="220"/>
      <c r="D84" s="220"/>
      <c r="E84" s="220"/>
    </row>
    <row r="85" spans="1:5" s="26" customFormat="1">
      <c r="A85" s="220"/>
      <c r="B85" s="220"/>
      <c r="C85" s="220"/>
      <c r="D85" s="220"/>
      <c r="E85" s="220"/>
    </row>
    <row r="86" spans="1:5" s="26" customFormat="1">
      <c r="A86" s="220"/>
      <c r="B86" s="220"/>
      <c r="C86" s="220"/>
      <c r="D86" s="220"/>
      <c r="E86" s="220"/>
    </row>
    <row r="87" spans="1:5" s="26" customFormat="1">
      <c r="A87" s="220"/>
      <c r="B87" s="220"/>
      <c r="C87" s="220"/>
      <c r="D87" s="220"/>
      <c r="E87" s="220"/>
    </row>
    <row r="88" spans="1:5" s="26" customFormat="1">
      <c r="A88" s="220"/>
      <c r="B88" s="220"/>
      <c r="C88" s="220"/>
      <c r="D88" s="220"/>
      <c r="E88" s="220"/>
    </row>
    <row r="89" spans="1:5" s="26" customFormat="1">
      <c r="A89" s="220"/>
      <c r="B89" s="220"/>
      <c r="C89" s="220"/>
      <c r="D89" s="220"/>
      <c r="E89" s="220"/>
    </row>
    <row r="90" spans="1:5" s="26" customFormat="1">
      <c r="A90" s="220"/>
      <c r="B90" s="220"/>
      <c r="C90" s="220"/>
      <c r="D90" s="220"/>
      <c r="E90" s="220"/>
    </row>
    <row r="91" spans="1:5" s="26" customFormat="1">
      <c r="A91" s="220"/>
      <c r="B91" s="220"/>
      <c r="C91" s="220"/>
      <c r="D91" s="220"/>
      <c r="E91" s="220"/>
    </row>
    <row r="92" spans="1:5" s="26" customFormat="1">
      <c r="A92" s="220"/>
      <c r="B92" s="220"/>
      <c r="C92" s="220"/>
      <c r="D92" s="220"/>
      <c r="E92" s="220"/>
    </row>
    <row r="93" spans="1:5" s="26" customFormat="1">
      <c r="A93" s="220"/>
      <c r="B93" s="220"/>
      <c r="C93" s="220"/>
      <c r="D93" s="220"/>
      <c r="E93" s="220"/>
    </row>
    <row r="94" spans="1:5" s="26" customFormat="1">
      <c r="A94" s="220"/>
      <c r="B94" s="220"/>
      <c r="C94" s="220"/>
      <c r="D94" s="220"/>
      <c r="E94" s="220"/>
    </row>
    <row r="95" spans="1:5" s="26" customFormat="1">
      <c r="A95" s="220"/>
      <c r="B95" s="220"/>
      <c r="C95" s="220"/>
      <c r="D95" s="220"/>
      <c r="E95" s="220"/>
    </row>
    <row r="96" spans="1:5" s="26" customFormat="1">
      <c r="A96" s="220"/>
      <c r="B96" s="220"/>
      <c r="C96" s="220"/>
      <c r="D96" s="220"/>
      <c r="E96" s="220"/>
    </row>
    <row r="97" spans="1:5" s="26" customFormat="1">
      <c r="A97" s="220"/>
      <c r="B97" s="220"/>
      <c r="C97" s="220"/>
      <c r="D97" s="220"/>
      <c r="E97" s="220"/>
    </row>
    <row r="98" spans="1:5" s="26" customFormat="1">
      <c r="A98" s="220"/>
      <c r="B98" s="220"/>
      <c r="C98" s="220"/>
      <c r="D98" s="220"/>
      <c r="E98" s="220"/>
    </row>
    <row r="99" spans="1:5" s="26" customFormat="1">
      <c r="A99" s="220"/>
      <c r="B99" s="220"/>
      <c r="C99" s="220"/>
      <c r="D99" s="220"/>
      <c r="E99" s="220"/>
    </row>
    <row r="100" spans="1:5" s="26" customFormat="1">
      <c r="A100" s="220"/>
      <c r="B100" s="220"/>
      <c r="C100" s="220"/>
      <c r="D100" s="220"/>
      <c r="E100" s="220"/>
    </row>
    <row r="101" spans="1:5" s="26" customFormat="1">
      <c r="A101" s="220"/>
      <c r="B101" s="220"/>
      <c r="C101" s="220"/>
      <c r="D101" s="220"/>
      <c r="E101" s="220"/>
    </row>
    <row r="102" spans="1:5" s="26" customFormat="1">
      <c r="A102" s="220"/>
      <c r="B102" s="220"/>
      <c r="C102" s="220"/>
      <c r="D102" s="220"/>
      <c r="E102" s="220"/>
    </row>
    <row r="103" spans="1:5" s="26" customFormat="1">
      <c r="A103" s="220"/>
      <c r="B103" s="220"/>
      <c r="C103" s="220"/>
      <c r="D103" s="220"/>
      <c r="E103" s="220"/>
    </row>
    <row r="104" spans="1:5" s="26" customFormat="1">
      <c r="A104" s="220"/>
      <c r="B104" s="220"/>
      <c r="C104" s="220"/>
      <c r="D104" s="220"/>
      <c r="E104" s="220"/>
    </row>
    <row r="105" spans="1:5" s="26" customFormat="1">
      <c r="A105" s="220"/>
      <c r="B105" s="220"/>
      <c r="C105" s="220"/>
      <c r="D105" s="220"/>
      <c r="E105" s="220"/>
    </row>
    <row r="106" spans="1:5" s="26" customFormat="1">
      <c r="A106" s="220"/>
      <c r="B106" s="220"/>
      <c r="C106" s="220"/>
      <c r="D106" s="220"/>
      <c r="E106" s="220"/>
    </row>
    <row r="107" spans="1:5" s="26" customFormat="1">
      <c r="A107" s="220"/>
      <c r="B107" s="220"/>
      <c r="C107" s="220"/>
      <c r="D107" s="220"/>
      <c r="E107" s="220"/>
    </row>
    <row r="108" spans="1:5" s="26" customFormat="1">
      <c r="A108" s="220"/>
      <c r="B108" s="220"/>
      <c r="C108" s="220"/>
      <c r="D108" s="220"/>
      <c r="E108" s="220"/>
    </row>
    <row r="109" spans="1:5" s="26" customFormat="1">
      <c r="A109" s="220"/>
      <c r="B109" s="220"/>
      <c r="C109" s="220"/>
      <c r="D109" s="220"/>
      <c r="E109" s="220"/>
    </row>
    <row r="110" spans="1:5" s="26" customFormat="1">
      <c r="A110" s="220"/>
      <c r="B110" s="220"/>
      <c r="C110" s="220"/>
      <c r="D110" s="220"/>
      <c r="E110" s="220"/>
    </row>
    <row r="111" spans="1:5" s="26" customFormat="1">
      <c r="A111" s="220"/>
      <c r="B111" s="220"/>
      <c r="C111" s="220"/>
      <c r="D111" s="220"/>
      <c r="E111" s="220"/>
    </row>
    <row r="112" spans="1:5" s="26" customFormat="1">
      <c r="A112" s="220"/>
      <c r="B112" s="220"/>
      <c r="C112" s="220"/>
      <c r="D112" s="220"/>
      <c r="E112" s="220"/>
    </row>
    <row r="113" spans="1:5" s="26" customFormat="1">
      <c r="A113" s="220"/>
      <c r="B113" s="220"/>
      <c r="C113" s="220"/>
      <c r="D113" s="220"/>
      <c r="E113" s="220"/>
    </row>
    <row r="114" spans="1:5" s="26" customFormat="1">
      <c r="A114" s="220"/>
      <c r="B114" s="220"/>
      <c r="C114" s="220"/>
      <c r="D114" s="220"/>
      <c r="E114" s="220"/>
    </row>
    <row r="115" spans="1:5" s="26" customFormat="1">
      <c r="A115" s="220"/>
      <c r="B115" s="220"/>
      <c r="C115" s="220"/>
      <c r="D115" s="220"/>
      <c r="E115" s="220"/>
    </row>
    <row r="116" spans="1:5" s="26" customFormat="1">
      <c r="A116" s="220"/>
      <c r="B116" s="220"/>
      <c r="C116" s="220"/>
      <c r="D116" s="220"/>
      <c r="E116" s="220"/>
    </row>
    <row r="117" spans="1:5" s="26" customFormat="1">
      <c r="A117" s="220"/>
      <c r="B117" s="220"/>
      <c r="C117" s="220"/>
      <c r="D117" s="220"/>
      <c r="E117" s="220"/>
    </row>
    <row r="118" spans="1:5" s="26" customFormat="1">
      <c r="A118" s="220"/>
      <c r="B118" s="220"/>
      <c r="C118" s="220"/>
      <c r="D118" s="220"/>
      <c r="E118" s="220"/>
    </row>
    <row r="119" spans="1:5" s="26" customFormat="1">
      <c r="A119" s="220"/>
      <c r="B119" s="220"/>
      <c r="C119" s="220"/>
      <c r="D119" s="220"/>
      <c r="E119" s="220"/>
    </row>
    <row r="120" spans="1:5" s="26" customFormat="1">
      <c r="A120" s="220"/>
      <c r="B120" s="220"/>
      <c r="C120" s="220"/>
      <c r="D120" s="220"/>
      <c r="E120" s="220"/>
    </row>
    <row r="121" spans="1:5" s="26" customFormat="1">
      <c r="A121" s="220"/>
      <c r="B121" s="220"/>
      <c r="C121" s="220"/>
      <c r="D121" s="220"/>
      <c r="E121" s="220"/>
    </row>
    <row r="122" spans="1:5" s="26" customFormat="1">
      <c r="A122" s="220"/>
      <c r="B122" s="220"/>
      <c r="C122" s="220"/>
      <c r="D122" s="220"/>
      <c r="E122" s="220"/>
    </row>
    <row r="123" spans="1:5" s="26" customFormat="1">
      <c r="A123" s="220"/>
      <c r="B123" s="220"/>
      <c r="C123" s="220"/>
      <c r="D123" s="220"/>
      <c r="E123" s="220"/>
    </row>
    <row r="124" spans="1:5" s="26" customFormat="1">
      <c r="A124" s="220"/>
      <c r="B124" s="220"/>
      <c r="C124" s="220"/>
      <c r="D124" s="220"/>
      <c r="E124" s="220"/>
    </row>
    <row r="125" spans="1:5" s="26" customFormat="1">
      <c r="A125" s="220"/>
      <c r="B125" s="220"/>
      <c r="C125" s="220"/>
      <c r="D125" s="220"/>
      <c r="E125" s="220"/>
    </row>
    <row r="126" spans="1:5" s="26" customFormat="1">
      <c r="A126" s="220"/>
      <c r="B126" s="220"/>
      <c r="C126" s="220"/>
      <c r="D126" s="220"/>
      <c r="E126" s="220"/>
    </row>
    <row r="127" spans="1:5" s="26" customFormat="1">
      <c r="A127" s="220"/>
      <c r="B127" s="220"/>
      <c r="C127" s="220"/>
      <c r="D127" s="220"/>
      <c r="E127" s="220"/>
    </row>
    <row r="128" spans="1:5" s="26" customFormat="1">
      <c r="A128" s="220"/>
      <c r="B128" s="220"/>
      <c r="C128" s="220"/>
      <c r="D128" s="220"/>
      <c r="E128" s="220"/>
    </row>
    <row r="129" spans="1:5" s="26" customFormat="1">
      <c r="A129" s="220"/>
      <c r="B129" s="220"/>
      <c r="C129" s="220"/>
      <c r="D129" s="220"/>
      <c r="E129" s="220"/>
    </row>
    <row r="130" spans="1:5" s="26" customFormat="1">
      <c r="A130" s="220"/>
      <c r="B130" s="220"/>
      <c r="C130" s="220"/>
      <c r="D130" s="220"/>
      <c r="E130" s="220"/>
    </row>
    <row r="131" spans="1:5" s="26" customFormat="1">
      <c r="A131" s="220"/>
      <c r="B131" s="220"/>
      <c r="C131" s="220"/>
      <c r="D131" s="220"/>
      <c r="E131" s="220"/>
    </row>
    <row r="132" spans="1:5" s="26" customFormat="1">
      <c r="A132" s="220"/>
      <c r="B132" s="220"/>
      <c r="C132" s="220"/>
      <c r="D132" s="220"/>
      <c r="E132" s="220"/>
    </row>
    <row r="133" spans="1:5" s="26" customFormat="1">
      <c r="A133" s="220"/>
      <c r="B133" s="220"/>
      <c r="C133" s="220"/>
      <c r="D133" s="220"/>
      <c r="E133" s="220"/>
    </row>
    <row r="134" spans="1:5" s="26" customFormat="1">
      <c r="A134" s="220"/>
      <c r="B134" s="220"/>
      <c r="C134" s="220"/>
      <c r="D134" s="220"/>
      <c r="E134" s="220"/>
    </row>
    <row r="135" spans="1:5" s="26" customFormat="1">
      <c r="A135" s="220"/>
      <c r="B135" s="220"/>
      <c r="C135" s="220"/>
      <c r="D135" s="220"/>
      <c r="E135" s="220"/>
    </row>
    <row r="136" spans="1:5" s="26" customFormat="1">
      <c r="A136" s="220"/>
      <c r="B136" s="220"/>
      <c r="C136" s="220"/>
      <c r="D136" s="220"/>
      <c r="E136" s="220"/>
    </row>
    <row r="137" spans="1:5" s="26" customFormat="1">
      <c r="A137" s="220"/>
      <c r="B137" s="220"/>
      <c r="C137" s="220"/>
      <c r="D137" s="220"/>
      <c r="E137" s="220"/>
    </row>
    <row r="138" spans="1:5" s="26" customFormat="1">
      <c r="A138" s="220"/>
      <c r="B138" s="220"/>
      <c r="C138" s="220"/>
      <c r="D138" s="220"/>
      <c r="E138" s="220"/>
    </row>
    <row r="139" spans="1:5" s="26" customFormat="1">
      <c r="A139" s="220"/>
      <c r="B139" s="220"/>
      <c r="C139" s="220"/>
      <c r="D139" s="220"/>
      <c r="E139" s="220"/>
    </row>
    <row r="140" spans="1:5" s="26" customFormat="1">
      <c r="A140" s="220"/>
      <c r="B140" s="220"/>
      <c r="C140" s="220"/>
      <c r="D140" s="220"/>
      <c r="E140" s="220"/>
    </row>
    <row r="141" spans="1:5" s="26" customFormat="1">
      <c r="A141" s="220"/>
      <c r="B141" s="220"/>
      <c r="C141" s="220"/>
      <c r="D141" s="220"/>
      <c r="E141" s="220"/>
    </row>
    <row r="142" spans="1:5" s="26" customFormat="1">
      <c r="A142" s="220"/>
      <c r="B142" s="220"/>
      <c r="C142" s="220"/>
      <c r="D142" s="220"/>
      <c r="E142" s="220"/>
    </row>
    <row r="143" spans="1:5" s="26" customFormat="1">
      <c r="A143" s="220"/>
      <c r="B143" s="220"/>
      <c r="C143" s="220"/>
      <c r="D143" s="220"/>
      <c r="E143" s="220"/>
    </row>
    <row r="144" spans="1:5" s="26" customFormat="1">
      <c r="A144" s="220"/>
      <c r="B144" s="220"/>
      <c r="C144" s="220"/>
      <c r="D144" s="220"/>
      <c r="E144" s="220"/>
    </row>
    <row r="145" spans="1:5" s="26" customFormat="1">
      <c r="A145" s="220"/>
      <c r="B145" s="220"/>
      <c r="C145" s="220"/>
      <c r="D145" s="220"/>
      <c r="E145" s="220"/>
    </row>
    <row r="146" spans="1:5" s="26" customFormat="1">
      <c r="A146" s="220"/>
      <c r="B146" s="220"/>
      <c r="C146" s="220"/>
      <c r="D146" s="220"/>
      <c r="E146" s="220"/>
    </row>
    <row r="147" spans="1:5" s="26" customFormat="1">
      <c r="A147" s="220"/>
      <c r="B147" s="220"/>
      <c r="C147" s="220"/>
      <c r="D147" s="220"/>
      <c r="E147" s="220"/>
    </row>
    <row r="148" spans="1:5" s="26" customFormat="1">
      <c r="A148" s="220"/>
      <c r="B148" s="220"/>
      <c r="C148" s="220"/>
      <c r="D148" s="220"/>
      <c r="E148" s="220"/>
    </row>
    <row r="149" spans="1:5" s="26" customFormat="1">
      <c r="A149" s="220"/>
      <c r="B149" s="220"/>
      <c r="C149" s="220"/>
      <c r="D149" s="220"/>
      <c r="E149" s="220"/>
    </row>
    <row r="150" spans="1:5" s="26" customFormat="1">
      <c r="A150" s="220"/>
      <c r="B150" s="220"/>
      <c r="C150" s="220"/>
      <c r="D150" s="220"/>
      <c r="E150" s="220"/>
    </row>
    <row r="151" spans="1:5" s="26" customFormat="1">
      <c r="A151" s="220"/>
      <c r="B151" s="220"/>
      <c r="C151" s="220"/>
      <c r="D151" s="220"/>
      <c r="E151" s="220"/>
    </row>
    <row r="152" spans="1:5" s="26" customFormat="1">
      <c r="A152" s="220"/>
      <c r="B152" s="220"/>
      <c r="C152" s="220"/>
      <c r="D152" s="220"/>
      <c r="E152" s="220"/>
    </row>
    <row r="153" spans="1:5" s="26" customFormat="1">
      <c r="A153" s="220"/>
      <c r="B153" s="220"/>
      <c r="C153" s="220"/>
      <c r="D153" s="220"/>
      <c r="E153" s="220"/>
    </row>
    <row r="154" spans="1:5" s="26" customFormat="1">
      <c r="A154" s="220"/>
      <c r="B154" s="220"/>
      <c r="C154" s="220"/>
      <c r="D154" s="220"/>
      <c r="E154" s="220"/>
    </row>
    <row r="155" spans="1:5" s="26" customFormat="1">
      <c r="A155" s="220"/>
      <c r="B155" s="220"/>
      <c r="C155" s="220"/>
      <c r="D155" s="220"/>
      <c r="E155" s="220"/>
    </row>
    <row r="156" spans="1:5" s="26" customFormat="1">
      <c r="A156" s="220"/>
      <c r="B156" s="220"/>
      <c r="C156" s="220"/>
      <c r="D156" s="220"/>
      <c r="E156" s="220"/>
    </row>
    <row r="157" spans="1:5" s="26" customFormat="1">
      <c r="A157" s="220"/>
      <c r="B157" s="220"/>
      <c r="C157" s="220"/>
      <c r="D157" s="220"/>
      <c r="E157" s="220"/>
    </row>
    <row r="158" spans="1:5" s="26" customFormat="1">
      <c r="A158" s="220"/>
      <c r="B158" s="220"/>
      <c r="C158" s="220"/>
      <c r="D158" s="220"/>
      <c r="E158" s="220"/>
    </row>
    <row r="159" spans="1:5" s="26" customFormat="1">
      <c r="A159" s="220"/>
      <c r="B159" s="220"/>
      <c r="C159" s="220"/>
      <c r="D159" s="220"/>
      <c r="E159" s="220"/>
    </row>
    <row r="160" spans="1:5" s="26" customFormat="1">
      <c r="A160" s="220"/>
      <c r="B160" s="220"/>
      <c r="C160" s="220"/>
      <c r="D160" s="220"/>
      <c r="E160" s="220"/>
    </row>
    <row r="161" spans="1:5" s="26" customFormat="1">
      <c r="A161" s="220"/>
      <c r="B161" s="220"/>
      <c r="C161" s="220"/>
      <c r="D161" s="220"/>
      <c r="E161" s="220"/>
    </row>
    <row r="162" spans="1:5" s="26" customFormat="1">
      <c r="A162" s="220"/>
      <c r="B162" s="220"/>
      <c r="C162" s="220"/>
      <c r="D162" s="220"/>
      <c r="E162" s="220"/>
    </row>
    <row r="163" spans="1:5" s="26" customFormat="1">
      <c r="A163" s="220"/>
      <c r="B163" s="220"/>
      <c r="C163" s="220"/>
      <c r="D163" s="220"/>
      <c r="E163" s="220"/>
    </row>
    <row r="164" spans="1:5" s="26" customFormat="1">
      <c r="A164" s="220"/>
      <c r="B164" s="220"/>
      <c r="C164" s="220"/>
      <c r="D164" s="220"/>
      <c r="E164" s="220"/>
    </row>
    <row r="165" spans="1:5" s="26" customFormat="1">
      <c r="A165" s="220"/>
      <c r="B165" s="220"/>
      <c r="C165" s="220"/>
      <c r="D165" s="220"/>
      <c r="E165" s="220"/>
    </row>
    <row r="166" spans="1:5" s="26" customFormat="1">
      <c r="A166" s="220"/>
      <c r="B166" s="220"/>
      <c r="C166" s="220"/>
      <c r="D166" s="220"/>
      <c r="E166" s="220"/>
    </row>
    <row r="167" spans="1:5" s="26" customFormat="1">
      <c r="A167" s="220"/>
      <c r="B167" s="220"/>
      <c r="C167" s="220"/>
      <c r="D167" s="220"/>
      <c r="E167" s="220"/>
    </row>
    <row r="168" spans="1:5" s="26" customFormat="1">
      <c r="A168" s="220"/>
      <c r="B168" s="220"/>
      <c r="C168" s="220"/>
      <c r="D168" s="220"/>
      <c r="E168" s="220"/>
    </row>
    <row r="169" spans="1:5" s="26" customFormat="1">
      <c r="A169" s="220"/>
      <c r="B169" s="220"/>
      <c r="C169" s="220"/>
      <c r="D169" s="220"/>
      <c r="E169" s="220"/>
    </row>
    <row r="170" spans="1:5" s="26" customFormat="1">
      <c r="A170" s="220"/>
      <c r="B170" s="220"/>
      <c r="C170" s="220"/>
      <c r="D170" s="220"/>
      <c r="E170" s="220"/>
    </row>
    <row r="171" spans="1:5" s="26" customFormat="1">
      <c r="A171" s="220"/>
      <c r="B171" s="220"/>
      <c r="C171" s="220"/>
      <c r="D171" s="220"/>
      <c r="E171" s="220"/>
    </row>
    <row r="172" spans="1:5" s="26" customFormat="1">
      <c r="A172" s="220"/>
      <c r="B172" s="220"/>
      <c r="C172" s="220"/>
      <c r="D172" s="220"/>
      <c r="E172" s="220"/>
    </row>
    <row r="173" spans="1:5" s="26" customFormat="1">
      <c r="A173" s="220"/>
      <c r="B173" s="220"/>
      <c r="C173" s="220"/>
      <c r="D173" s="220"/>
      <c r="E173" s="220"/>
    </row>
    <row r="174" spans="1:5" s="26" customFormat="1">
      <c r="A174" s="220"/>
      <c r="B174" s="220"/>
      <c r="C174" s="220"/>
      <c r="D174" s="220"/>
      <c r="E174" s="220"/>
    </row>
    <row r="175" spans="1:5" s="26" customFormat="1">
      <c r="A175" s="220"/>
      <c r="B175" s="220"/>
      <c r="C175" s="220"/>
      <c r="D175" s="220"/>
      <c r="E175" s="220"/>
    </row>
    <row r="176" spans="1:5" s="26" customFormat="1">
      <c r="A176" s="220"/>
      <c r="B176" s="220"/>
      <c r="C176" s="220"/>
      <c r="D176" s="220"/>
      <c r="E176" s="220"/>
    </row>
    <row r="177" spans="1:5" s="26" customFormat="1">
      <c r="A177" s="220"/>
      <c r="B177" s="220"/>
      <c r="C177" s="220"/>
      <c r="D177" s="220"/>
      <c r="E177" s="220"/>
    </row>
    <row r="178" spans="1:5" s="26" customFormat="1">
      <c r="A178" s="220"/>
      <c r="B178" s="220"/>
      <c r="C178" s="220"/>
      <c r="D178" s="220"/>
      <c r="E178" s="220"/>
    </row>
    <row r="179" spans="1:5" s="26" customFormat="1">
      <c r="A179" s="220"/>
      <c r="B179" s="220"/>
      <c r="C179" s="220"/>
      <c r="D179" s="220"/>
      <c r="E179" s="220"/>
    </row>
    <row r="180" spans="1:5" s="26" customFormat="1">
      <c r="A180" s="220"/>
      <c r="B180" s="220"/>
      <c r="C180" s="220"/>
      <c r="D180" s="220"/>
      <c r="E180" s="220"/>
    </row>
    <row r="181" spans="1:5" s="26" customFormat="1">
      <c r="A181" s="220"/>
      <c r="B181" s="220"/>
      <c r="C181" s="220"/>
      <c r="D181" s="220"/>
      <c r="E181" s="220"/>
    </row>
    <row r="182" spans="1:5" s="26" customFormat="1">
      <c r="A182" s="220"/>
      <c r="B182" s="220"/>
      <c r="C182" s="220"/>
      <c r="D182" s="220"/>
      <c r="E182" s="220"/>
    </row>
    <row r="183" spans="1:5" s="26" customFormat="1">
      <c r="A183" s="220"/>
      <c r="B183" s="220"/>
      <c r="C183" s="220"/>
      <c r="D183" s="220"/>
      <c r="E183" s="220"/>
    </row>
    <row r="184" spans="1:5" s="26" customFormat="1">
      <c r="A184" s="220"/>
      <c r="B184" s="220"/>
      <c r="C184" s="220"/>
      <c r="D184" s="220"/>
      <c r="E184" s="220"/>
    </row>
    <row r="185" spans="1:5" s="26" customFormat="1">
      <c r="A185" s="220"/>
      <c r="B185" s="220"/>
      <c r="C185" s="220"/>
      <c r="D185" s="220"/>
      <c r="E185" s="220"/>
    </row>
    <row r="186" spans="1:5" s="26" customFormat="1">
      <c r="A186" s="220"/>
      <c r="B186" s="220"/>
      <c r="C186" s="220"/>
      <c r="D186" s="220"/>
      <c r="E186" s="220"/>
    </row>
    <row r="187" spans="1:5" s="26" customFormat="1">
      <c r="A187" s="220"/>
      <c r="B187" s="220"/>
      <c r="C187" s="220"/>
      <c r="D187" s="220"/>
      <c r="E187" s="220"/>
    </row>
    <row r="188" spans="1:5" s="26" customFormat="1">
      <c r="A188" s="220"/>
      <c r="B188" s="220"/>
      <c r="C188" s="220"/>
      <c r="D188" s="220"/>
      <c r="E188" s="220"/>
    </row>
    <row r="189" spans="1:5" s="26" customFormat="1">
      <c r="A189" s="220"/>
      <c r="B189" s="220"/>
      <c r="C189" s="220"/>
      <c r="D189" s="220"/>
      <c r="E189" s="220"/>
    </row>
    <row r="190" spans="1:5" s="26" customFormat="1">
      <c r="A190" s="220"/>
      <c r="B190" s="220"/>
      <c r="C190" s="220"/>
      <c r="D190" s="220"/>
      <c r="E190" s="220"/>
    </row>
    <row r="191" spans="1:5" s="26" customFormat="1">
      <c r="A191" s="220"/>
      <c r="B191" s="220"/>
      <c r="C191" s="220"/>
      <c r="D191" s="220"/>
      <c r="E191" s="220"/>
    </row>
    <row r="192" spans="1:5" s="26" customFormat="1">
      <c r="A192" s="220"/>
      <c r="B192" s="220"/>
      <c r="C192" s="220"/>
      <c r="D192" s="220"/>
      <c r="E192" s="220"/>
    </row>
    <row r="193" spans="1:5" s="26" customFormat="1">
      <c r="A193" s="220"/>
      <c r="B193" s="220"/>
      <c r="C193" s="220"/>
      <c r="D193" s="220"/>
      <c r="E193" s="220"/>
    </row>
    <row r="194" spans="1:5" s="26" customFormat="1">
      <c r="A194" s="220"/>
      <c r="B194" s="220"/>
      <c r="C194" s="220"/>
      <c r="D194" s="220"/>
      <c r="E194" s="220"/>
    </row>
    <row r="195" spans="1:5" s="26" customFormat="1">
      <c r="A195" s="220"/>
      <c r="B195" s="220"/>
      <c r="C195" s="220"/>
      <c r="D195" s="220"/>
      <c r="E195" s="220"/>
    </row>
    <row r="196" spans="1:5" s="26" customFormat="1">
      <c r="A196" s="220"/>
      <c r="B196" s="220"/>
      <c r="C196" s="220"/>
      <c r="D196" s="220"/>
      <c r="E196" s="220"/>
    </row>
    <row r="197" spans="1:5" s="26" customFormat="1">
      <c r="A197" s="220"/>
      <c r="B197" s="220"/>
      <c r="C197" s="220"/>
      <c r="D197" s="220"/>
      <c r="E197" s="220"/>
    </row>
    <row r="198" spans="1:5" s="26" customFormat="1">
      <c r="A198" s="220"/>
      <c r="B198" s="220"/>
      <c r="C198" s="220"/>
      <c r="D198" s="220"/>
      <c r="E198" s="220"/>
    </row>
    <row r="199" spans="1:5" s="26" customFormat="1">
      <c r="A199" s="220"/>
      <c r="B199" s="220"/>
      <c r="C199" s="220"/>
      <c r="D199" s="220"/>
      <c r="E199" s="220"/>
    </row>
    <row r="200" spans="1:5" s="26" customFormat="1">
      <c r="A200" s="220"/>
      <c r="B200" s="220"/>
      <c r="C200" s="220"/>
      <c r="D200" s="220"/>
      <c r="E200" s="220"/>
    </row>
    <row r="201" spans="1:5" s="26" customFormat="1">
      <c r="A201" s="220"/>
      <c r="B201" s="220"/>
      <c r="C201" s="220"/>
      <c r="D201" s="220"/>
      <c r="E201" s="220"/>
    </row>
    <row r="202" spans="1:5" s="26" customFormat="1">
      <c r="A202" s="220"/>
      <c r="B202" s="220"/>
      <c r="C202" s="220"/>
      <c r="D202" s="220"/>
      <c r="E202" s="220"/>
    </row>
    <row r="203" spans="1:5" s="26" customFormat="1">
      <c r="A203" s="220"/>
      <c r="B203" s="220"/>
      <c r="C203" s="220"/>
      <c r="D203" s="220"/>
      <c r="E203" s="220"/>
    </row>
    <row r="204" spans="1:5" s="26" customFormat="1">
      <c r="A204" s="220"/>
      <c r="B204" s="220"/>
      <c r="C204" s="220"/>
      <c r="D204" s="220"/>
      <c r="E204" s="220"/>
    </row>
    <row r="205" spans="1:5" s="26" customFormat="1">
      <c r="A205" s="220"/>
      <c r="B205" s="220"/>
      <c r="C205" s="220"/>
      <c r="D205" s="220"/>
      <c r="E205" s="220"/>
    </row>
    <row r="206" spans="1:5" s="26" customFormat="1">
      <c r="A206" s="220"/>
      <c r="B206" s="220"/>
      <c r="C206" s="220"/>
      <c r="D206" s="220"/>
      <c r="E206" s="220"/>
    </row>
    <row r="207" spans="1:5" s="26" customFormat="1">
      <c r="A207" s="220"/>
      <c r="B207" s="220"/>
      <c r="C207" s="220"/>
      <c r="D207" s="220"/>
      <c r="E207" s="220"/>
    </row>
    <row r="208" spans="1:5">
      <c r="A208" s="220"/>
      <c r="B208" s="220"/>
      <c r="C208" s="220"/>
      <c r="D208" s="220"/>
      <c r="E208" s="220"/>
    </row>
    <row r="209" spans="1:5">
      <c r="A209" s="220"/>
      <c r="B209" s="220"/>
      <c r="C209" s="220"/>
      <c r="D209" s="220"/>
      <c r="E209" s="220"/>
    </row>
    <row r="210" spans="1:5">
      <c r="A210" s="220"/>
      <c r="B210" s="220"/>
      <c r="C210" s="220"/>
      <c r="D210" s="220"/>
      <c r="E210" s="220"/>
    </row>
    <row r="211" spans="1:5">
      <c r="A211" s="220"/>
      <c r="B211" s="220"/>
      <c r="C211" s="220"/>
      <c r="D211" s="220"/>
      <c r="E211" s="220"/>
    </row>
    <row r="212" spans="1:5">
      <c r="A212" s="220"/>
      <c r="B212" s="220"/>
      <c r="C212" s="220"/>
      <c r="D212" s="220"/>
      <c r="E212" s="220"/>
    </row>
    <row r="213" spans="1:5">
      <c r="A213" s="220"/>
      <c r="B213" s="220"/>
      <c r="C213" s="220"/>
      <c r="D213" s="220"/>
      <c r="E213" s="220"/>
    </row>
  </sheetData>
  <hyperlinks>
    <hyperlink ref="D2" r:id="rId1" xr:uid="{DDDBA71C-B34C-40E1-95D4-04D6B3D8A8BD}"/>
    <hyperlink ref="D5" r:id="rId2" xr:uid="{F3138503-25FD-4632-BE4E-4A1E91200705}"/>
    <hyperlink ref="D9" r:id="rId3" xr:uid="{DCAF211C-740F-49B5-928D-505B23D0BB4D}"/>
    <hyperlink ref="D10" r:id="rId4" xr:uid="{59E95DF3-AC12-4469-8469-5FD2AE6B0C3C}"/>
    <hyperlink ref="D11" r:id="rId5" xr:uid="{3409D1C8-B675-44AF-A158-6F355713BE3F}"/>
    <hyperlink ref="D12" r:id="rId6" xr:uid="{4309D4A8-3F64-47F6-A81B-DF37D3AD40E1}"/>
    <hyperlink ref="D15" r:id="rId7" xr:uid="{7280147C-B227-4790-A78B-A57CC5E60C9B}"/>
    <hyperlink ref="D16" r:id="rId8" xr:uid="{ED455F57-EE1B-4594-ABAB-0FEB3A623E37}"/>
    <hyperlink ref="D17" r:id="rId9" xr:uid="{5668F771-4F71-4395-BE3A-5A154CF91658}"/>
    <hyperlink ref="D18" r:id="rId10" xr:uid="{B30EB96E-BD7A-4178-AD2E-6B1A5462CF06}"/>
    <hyperlink ref="D19" r:id="rId11" xr:uid="{AA3D839F-41EC-4C24-BE9B-66ED56405369}"/>
    <hyperlink ref="D22" r:id="rId12" xr:uid="{4F201622-D6B0-4A99-A5A8-FA7994596530}"/>
    <hyperlink ref="D23" r:id="rId13" xr:uid="{F1FE988B-75E6-419D-8FEF-060F3F419CB2}"/>
    <hyperlink ref="D24" r:id="rId14" xr:uid="{7A49F3B4-D8DD-4D23-998E-57297986DF63}"/>
    <hyperlink ref="D25" r:id="rId15" xr:uid="{23165EA3-F506-454D-850C-85F066468199}"/>
    <hyperlink ref="D27" r:id="rId16" xr:uid="{6162B7D4-2CA8-41BD-AE0D-AE1AAE906D42}"/>
    <hyperlink ref="D30" r:id="rId17" xr:uid="{9762C04C-A711-4319-889C-C72F7435AE3E}"/>
    <hyperlink ref="D34" r:id="rId18" xr:uid="{FEF9ABD7-8F1D-4186-A690-B0686935E5A0}"/>
    <hyperlink ref="D32" r:id="rId19" xr:uid="{4CD595CD-C950-43C4-9835-50FF86D536DC}"/>
    <hyperlink ref="D37" r:id="rId20" xr:uid="{B528311F-2974-4192-BF11-BCA53674F011}"/>
    <hyperlink ref="D38" r:id="rId21" xr:uid="{AD6F5075-6CFF-45BF-B5F4-724EC205E6AE}"/>
    <hyperlink ref="D40" r:id="rId22" xr:uid="{D6F72A52-591A-476F-A150-FFF530B0669F}"/>
    <hyperlink ref="D42" r:id="rId23" xr:uid="{B6D19B9D-A354-4FC5-A473-1BE29F180EAD}"/>
    <hyperlink ref="D44" r:id="rId24" xr:uid="{390936D7-279F-4979-9A57-9EC2DB3C12A0}"/>
    <hyperlink ref="D45" r:id="rId25" xr:uid="{D66B529F-5C5E-4EEF-B68E-6DD35E1F03BB}"/>
    <hyperlink ref="D48" r:id="rId26" xr:uid="{04674A24-29D2-4884-8758-E44437ECEE3D}"/>
    <hyperlink ref="D51" r:id="rId27" xr:uid="{0300D042-F224-4502-93A3-EF73D80D0FE2}"/>
    <hyperlink ref="D6" r:id="rId28" xr:uid="{09F7F304-8E17-4C2E-A082-1BF826A7552B}"/>
    <hyperlink ref="G7" r:id="rId29" xr:uid="{55D5582F-1FE2-4DC1-B345-EBD3BEE1EEFA}"/>
    <hyperlink ref="D7" r:id="rId30" xr:uid="{D2CB962F-FFF9-4365-893D-0E423DF5C6FC}"/>
    <hyperlink ref="D8" r:id="rId31" xr:uid="{FDC2B95A-6BB8-4D33-9D5D-AFA30CC6AA1D}"/>
    <hyperlink ref="D14" r:id="rId32" xr:uid="{6109CC68-4879-4445-BF63-61E77039BFDC}"/>
    <hyperlink ref="D20" r:id="rId33" xr:uid="{D4D77E59-85A1-4FA7-99DD-3269C6CD13A2}"/>
    <hyperlink ref="D21" r:id="rId34" xr:uid="{E17D438E-BA39-4C35-A971-95D785DF02EC}"/>
    <hyperlink ref="D26" r:id="rId35" xr:uid="{EB17B04E-C33A-4B8C-937D-EBBD93DA0344}"/>
    <hyperlink ref="D28" r:id="rId36" xr:uid="{BCDD611F-948D-43C3-96CF-5E0D15BAC504}"/>
    <hyperlink ref="D29" r:id="rId37" xr:uid="{FA4F08EC-065D-4CF5-A1BA-A23B899DB6A8}"/>
    <hyperlink ref="D31" r:id="rId38" xr:uid="{5C24577B-1A8D-40BE-B856-26B7E88F2252}"/>
    <hyperlink ref="D33" r:id="rId39" xr:uid="{8A606B0A-53CB-4237-B747-86C2AEA6AF0B}"/>
    <hyperlink ref="D35" r:id="rId40" xr:uid="{4BE26920-D6F9-4F7C-87E4-8CB7B30A0FE0}"/>
    <hyperlink ref="D36" r:id="rId41" xr:uid="{AB28ACCB-AFFF-4B99-B78A-F18A92D4101E}"/>
    <hyperlink ref="D39" r:id="rId42" xr:uid="{4206409D-E20B-4BD3-84F0-27AEF9C52C5E}"/>
    <hyperlink ref="D43" r:id="rId43" xr:uid="{206E08B2-692F-45DB-823E-CCCA939F549B}"/>
    <hyperlink ref="D46" r:id="rId44" xr:uid="{5E2EB765-35AB-4BA8-B9D4-223B027BF5E7}"/>
    <hyperlink ref="D47" r:id="rId45" xr:uid="{E5448F3F-1EAF-4AAF-9C69-9E9EA570AA24}"/>
    <hyperlink ref="G49" r:id="rId46" xr:uid="{3021E33D-DFBD-4060-975A-F774E5DC98B9}"/>
    <hyperlink ref="D50" r:id="rId47" xr:uid="{30A6F191-EAB4-490A-8911-3BD954AC3D46}"/>
    <hyperlink ref="D49" r:id="rId48" xr:uid="{D7900A00-7BD8-46ED-98C3-1CB9C00680C0}"/>
    <hyperlink ref="D52" r:id="rId49" xr:uid="{889C164D-DB42-4197-89A0-BE488EB6F391}"/>
    <hyperlink ref="G25" r:id="rId50" xr:uid="{A862C4B7-0BDC-41A5-97CD-A362E4DA4CD1}"/>
    <hyperlink ref="G11" r:id="rId51" xr:uid="{E08813D0-3E99-40B2-B7C2-403EB9D8BEFB}"/>
    <hyperlink ref="G9" r:id="rId52" xr:uid="{D23AC4B8-A924-4DE9-8E4E-D8B8BFF10F0A}"/>
    <hyperlink ref="G8" r:id="rId53" xr:uid="{79817A42-CACD-42CF-A766-769892F7C6D1}"/>
    <hyperlink ref="G35" r:id="rId54" xr:uid="{C57E32AD-1F7A-4DBF-B11E-FE7E0EB3F930}"/>
    <hyperlink ref="G34" r:id="rId55" xr:uid="{1755A083-1CA3-4119-AF05-18D527224DD6}"/>
    <hyperlink ref="G45" r:id="rId56" xr:uid="{20144B5B-0885-4DDC-ADCA-865E927D1D8A}"/>
    <hyperlink ref="G2" r:id="rId57" xr:uid="{3D01A9D7-05C6-4647-9EA0-8B0F0E63B78C}"/>
    <hyperlink ref="J5" r:id="rId58" xr:uid="{A17E31F2-C482-4FC8-A5A5-B488B4C41C26}"/>
    <hyperlink ref="J45" r:id="rId59" xr:uid="{404FC86C-DC09-4007-88AD-354581E33295}"/>
    <hyperlink ref="J7" r:id="rId60" xr:uid="{34671CC7-2B1D-40AA-A65A-335B96EE8085}"/>
    <hyperlink ref="J11" r:id="rId61" xr:uid="{AFB1C58D-6D6C-44F2-8FBA-25B33ADF3CC7}"/>
    <hyperlink ref="J23" r:id="rId62" xr:uid="{4CDEB896-F1C5-420C-ACED-AE19A9B53D0B}"/>
    <hyperlink ref="J35" r:id="rId63" xr:uid="{28B3D3AB-3413-4815-B726-BBEF4348185F}"/>
    <hyperlink ref="J13" r:id="rId64" xr:uid="{259C5621-7E46-4617-B39A-D9BC1B6222AC}"/>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C3BA9-05B9-4E8B-A63A-7FA0527EEB1C}">
  <sheetPr>
    <tabColor theme="0" tint="-0.249977111117893"/>
  </sheetPr>
  <dimension ref="A1:CF152"/>
  <sheetViews>
    <sheetView workbookViewId="0">
      <pane xSplit="2" ySplit="1" topLeftCell="K2" activePane="bottomRight" state="frozen"/>
      <selection pane="bottomRight" activeCell="O6" sqref="O6"/>
      <selection pane="bottomLeft" activeCell="A2" sqref="A2"/>
      <selection pane="topRight" activeCell="C1" sqref="C1"/>
    </sheetView>
  </sheetViews>
  <sheetFormatPr defaultColWidth="11.42578125" defaultRowHeight="12.95"/>
  <cols>
    <col min="1" max="1" width="7.42578125" style="1" customWidth="1"/>
    <col min="2" max="2" width="15.42578125" style="1" customWidth="1"/>
    <col min="3" max="3" width="13.42578125" style="1" customWidth="1"/>
    <col min="4" max="4" width="12.42578125" style="1" bestFit="1" customWidth="1"/>
    <col min="5" max="5" width="26" style="4" customWidth="1"/>
    <col min="6" max="7" width="26.42578125" style="4" customWidth="1"/>
    <col min="8" max="14" width="29.7109375" style="4" customWidth="1"/>
    <col min="15" max="15" width="26" style="4" customWidth="1"/>
    <col min="16" max="17" width="26.42578125" style="4" customWidth="1"/>
    <col min="18" max="18" width="30.28515625" style="4" customWidth="1"/>
    <col min="19" max="23" width="26.42578125" style="4" customWidth="1"/>
    <col min="24" max="24" width="29.42578125" style="4" customWidth="1"/>
    <col min="25" max="25" width="25.42578125" style="4" customWidth="1"/>
    <col min="26" max="26" width="28.28515625" style="4" customWidth="1"/>
    <col min="27" max="27" width="25.85546875" style="4" customWidth="1"/>
    <col min="28" max="29" width="29.140625" style="4" customWidth="1"/>
    <col min="30" max="31" width="29.42578125" style="4" customWidth="1"/>
    <col min="32" max="32" width="25.85546875" style="4" customWidth="1"/>
    <col min="33" max="34" width="29.140625" style="4" customWidth="1"/>
    <col min="35" max="35" width="29.85546875" style="4" customWidth="1"/>
    <col min="36" max="36" width="28.28515625" style="4" customWidth="1"/>
    <col min="37" max="37" width="27.42578125" style="4" customWidth="1"/>
    <col min="38" max="84" width="11.42578125" style="4"/>
    <col min="85" max="16384" width="11.42578125" style="1"/>
  </cols>
  <sheetData>
    <row r="1" spans="1:38" ht="44.45" customHeight="1">
      <c r="A1" s="5" t="s">
        <v>278</v>
      </c>
      <c r="B1" s="6" t="s">
        <v>279</v>
      </c>
      <c r="C1" s="6" t="s">
        <v>280</v>
      </c>
      <c r="D1" s="6" t="s">
        <v>281</v>
      </c>
      <c r="E1" s="184" t="s">
        <v>717</v>
      </c>
      <c r="F1" s="177" t="s">
        <v>718</v>
      </c>
      <c r="G1" s="245" t="s">
        <v>719</v>
      </c>
      <c r="H1" s="239" t="s">
        <v>720</v>
      </c>
      <c r="I1" s="246" t="s">
        <v>721</v>
      </c>
      <c r="J1" s="239" t="s">
        <v>722</v>
      </c>
      <c r="K1" s="246" t="s">
        <v>723</v>
      </c>
      <c r="L1" s="239" t="s">
        <v>724</v>
      </c>
      <c r="M1" s="246" t="s">
        <v>725</v>
      </c>
      <c r="N1" s="239" t="s">
        <v>726</v>
      </c>
      <c r="O1" s="61" t="s">
        <v>727</v>
      </c>
      <c r="P1" s="177" t="s">
        <v>728</v>
      </c>
      <c r="Q1" s="245" t="s">
        <v>729</v>
      </c>
      <c r="R1" s="239" t="s">
        <v>730</v>
      </c>
      <c r="S1" s="246" t="s">
        <v>731</v>
      </c>
      <c r="T1" s="239" t="s">
        <v>732</v>
      </c>
      <c r="U1" s="246" t="s">
        <v>733</v>
      </c>
      <c r="V1" s="239" t="s">
        <v>734</v>
      </c>
      <c r="W1" s="246" t="s">
        <v>735</v>
      </c>
      <c r="X1" s="61" t="s">
        <v>736</v>
      </c>
      <c r="Y1" s="245" t="s">
        <v>737</v>
      </c>
      <c r="Z1" s="177" t="s">
        <v>738</v>
      </c>
      <c r="AA1" s="195" t="s">
        <v>739</v>
      </c>
      <c r="AB1" s="231" t="s">
        <v>740</v>
      </c>
      <c r="AC1" s="231" t="s">
        <v>741</v>
      </c>
      <c r="AD1" s="231" t="s">
        <v>742</v>
      </c>
      <c r="AE1" s="231" t="s">
        <v>743</v>
      </c>
      <c r="AF1" s="61" t="s">
        <v>744</v>
      </c>
      <c r="AG1" s="231" t="s">
        <v>745</v>
      </c>
      <c r="AH1" s="231" t="s">
        <v>746</v>
      </c>
      <c r="AI1" s="231" t="s">
        <v>747</v>
      </c>
      <c r="AJ1" s="245" t="s">
        <v>748</v>
      </c>
      <c r="AK1" s="245" t="s">
        <v>749</v>
      </c>
    </row>
    <row r="2" spans="1:38">
      <c r="A2" s="9">
        <v>1</v>
      </c>
      <c r="B2" s="1" t="s">
        <v>304</v>
      </c>
      <c r="C2" s="1" t="s">
        <v>305</v>
      </c>
      <c r="D2" s="1">
        <v>0</v>
      </c>
      <c r="E2" s="191">
        <f>'Interventions cost'!D2+'Interventions cost'!E2+'Interventions cost'!F2+'Interventions cost'!G2</f>
        <v>138306778.46636468</v>
      </c>
      <c r="F2" s="192">
        <f>'Interventions cost'!X2+'Interventions cost'!Y2+'Interventions cost'!Z2+'Interventions cost'!AA2</f>
        <v>2573332993.3009653</v>
      </c>
      <c r="G2" s="240">
        <f>'Interventions cost'!H2+'Interventions cost'!I2+'Interventions cost'!J2+'Interventions cost'!K2</f>
        <v>30126537.241901197</v>
      </c>
      <c r="H2" s="192">
        <f>'Interventions cost'!AB2+'Interventions cost'!AC2+'Interventions cost'!AD2+'Interventions cost'!AE2</f>
        <v>560533714.38586688</v>
      </c>
      <c r="I2" s="240">
        <f>'Interventions cost'!L2+'Interventions cost'!M2+'Interventions cost'!N2+'Interventions cost'!O2</f>
        <v>24573138.945867114</v>
      </c>
      <c r="J2" s="192">
        <f>'Interventions cost'!AF2+'Interventions cost'!AG2+'Interventions cost'!AH2+'Interventions cost'!AI2</f>
        <v>457207303.21071762</v>
      </c>
      <c r="K2" s="240">
        <f>'Interventions cost'!P2+'Interventions cost'!Q2+'Interventions cost'!R2+'Interventions cost'!S2</f>
        <v>71736798.734043762</v>
      </c>
      <c r="L2" s="192">
        <f>'Interventions cost'!AJ2+'Interventions cost'!AK2+'Interventions cost'!AL2+'Interventions cost'!AM2</f>
        <v>1334733359.15347</v>
      </c>
      <c r="M2" s="240">
        <f>'Interventions cost'!T2+'Interventions cost'!U2+'Interventions cost'!V2+'Interventions cost'!W2</f>
        <v>2019409.4437018174</v>
      </c>
      <c r="N2" s="192">
        <f>'Interventions cost'!AN2+'Interventions cost'!AO2+'Interventions cost'!AP2+'Interventions cost'!AQ2</f>
        <v>37573089.374829285</v>
      </c>
      <c r="O2" s="240">
        <f>'Interventions cost'!AR2+'Interventions cost'!AS2+'Interventions cost'!AT2+'Interventions cost'!AU2</f>
        <v>47415413.353010394</v>
      </c>
      <c r="P2" s="192">
        <f>'Interventions cost'!BL2+'Interventions cost'!BM2+'Interventions cost'!BN2+'Interventions cost'!BO2</f>
        <v>435092826.43718022</v>
      </c>
      <c r="Q2" s="240">
        <f>'Interventions cost'!AV2+'Interventions cost'!AW2+'Interventions cost'!AX2+'Interventions cost'!AY2</f>
        <v>27407224.697910096</v>
      </c>
      <c r="R2" s="192">
        <f>'Interventions cost'!BP2+'Interventions cost'!BQ2+'Interventions cost'!BR2+'Interventions cost'!BS2</f>
        <v>251493892.28841344</v>
      </c>
      <c r="S2" s="240">
        <f>'Interventions cost'!AZ2+'Interventions cost'!BA2+'Interventions cost'!BB2+'Interventions cost'!BC2</f>
        <v>12897465.755025228</v>
      </c>
      <c r="T2" s="192">
        <f>'Interventions cost'!BT2+'Interventions cost'!BU2+'Interventions cost'!BV2+'Interventions cost'!BW2</f>
        <v>118349592.0925972</v>
      </c>
      <c r="U2" s="240">
        <f>'Interventions cost'!BD2+'Interventions cost'!BE2+'Interventions cost'!BF2+'Interventions cost'!BG2</f>
        <v>10993961.316039898</v>
      </c>
      <c r="V2" s="192">
        <f>'Interventions cost'!BX2+'Interventions cost'!BY2+'Interventions cost'!BZ2+'Interventions cost'!CA2</f>
        <v>100882674.31360742</v>
      </c>
      <c r="W2" s="240">
        <f>'Interventions cost'!BH2+'Interventions cost'!BI2+'Interventions cost'!BJ2+'Interventions cost'!BK2</f>
        <v>529614.37938466645</v>
      </c>
      <c r="X2" s="240">
        <f>'Interventions cost'!CB2+'Interventions cost'!CC2+'Interventions cost'!CD2+'Interventions cost'!CE2</f>
        <v>4859841.9997453745</v>
      </c>
      <c r="Y2" s="242">
        <f>'Interventions cost'!CF2+'Interventions cost'!CG2+'Interventions cost'!CH2+'Interventions cost'!CI2</f>
        <v>30160011.172169991</v>
      </c>
      <c r="Z2" s="192">
        <f>'Interventions cost'!CJ2+'Interventions cost'!CK2+'Interventions cost'!CL2+'Interventions cost'!CM2</f>
        <v>276753983.11049914</v>
      </c>
      <c r="AA2" s="196">
        <f>'Food volume'!Y3+'Food volume'!Z3+'Food volume'!AA3+'Food volume'!AB3</f>
        <v>39516222.418961331</v>
      </c>
      <c r="AB2" s="178">
        <f>'Food volume'!AC3+'Food volume'!AD3+'Food volume'!AE3+'Food volume'!AF3</f>
        <v>8607582.0691146273</v>
      </c>
      <c r="AC2" s="178">
        <f>'Food volume'!AG3+'Food volume'!AH3+'Food volume'!AI3+'Food volume'!AJ3</f>
        <v>7020896.8416763181</v>
      </c>
      <c r="AD2" s="178">
        <f>'Food volume'!AK3+'Food volume'!AL3+'Food volume'!AM3+'Food volume'!AN3</f>
        <v>20496228.209726792</v>
      </c>
      <c r="AE2" s="178">
        <f>'Food volume'!AO3+'Food volume'!AP3+'Food volume'!AQ3+'Food volume'!AR3</f>
        <v>576974.12677194783</v>
      </c>
      <c r="AF2" s="118">
        <f>SUM('Food volume'!AS3:AV3)</f>
        <v>13547260.95800297</v>
      </c>
      <c r="AG2" s="196">
        <f>'Food volume'!AW3+'Food volume'!AX3+'Food volume'!AY3+'Food volume'!AZ3</f>
        <v>7830635.6279743128</v>
      </c>
      <c r="AH2" s="250">
        <f>'Food volume'!BA3+'Food volume'!BB3+'Food volume'!BC3+'Food volume'!BD3</f>
        <v>3684990.2157214931</v>
      </c>
      <c r="AI2" s="250">
        <f>'Food volume'!BE3+'Food volume'!BF3+'Food volume'!BG3+'Food volume'!BH3</f>
        <v>3141131.8045828282</v>
      </c>
      <c r="AJ2" s="247">
        <f>'Food volume'!BI3+'Food volume'!BJ3+'Food volume'!BK3+'Food volume'!BL3</f>
        <v>151318.39410990471</v>
      </c>
      <c r="AK2" s="250">
        <f>'Food volume'!BM3+'Food volume'!BN3+'Food volume'!BO3+'Food volume'!BP3</f>
        <v>8617146.0491914246</v>
      </c>
      <c r="AL2" s="220"/>
    </row>
    <row r="3" spans="1:38">
      <c r="A3" s="9">
        <v>2</v>
      </c>
      <c r="B3" s="1" t="s">
        <v>314</v>
      </c>
      <c r="C3" s="1" t="s">
        <v>315</v>
      </c>
      <c r="D3" s="1">
        <v>1</v>
      </c>
      <c r="E3" s="191">
        <f>'Interventions cost'!D3+'Interventions cost'!E3+'Interventions cost'!F3+'Interventions cost'!G3</f>
        <v>17412477.241538443</v>
      </c>
      <c r="F3" s="192">
        <f>'Interventions cost'!X3+'Interventions cost'!Y3+'Interventions cost'!Z3+'Interventions cost'!AA3</f>
        <v>323976183.07370305</v>
      </c>
      <c r="G3" s="240">
        <f>'Interventions cost'!H3+'Interventions cost'!I3+'Interventions cost'!J3+'Interventions cost'!K3</f>
        <v>5325558.6271908609</v>
      </c>
      <c r="H3" s="192">
        <f>'Interventions cost'!AB3+'Interventions cost'!AC3+'Interventions cost'!AD3+'Interventions cost'!AE3</f>
        <v>99087231.118188962</v>
      </c>
      <c r="I3" s="240">
        <f>'Interventions cost'!L3+'Interventions cost'!M3+'Interventions cost'!N3+'Interventions cost'!O3</f>
        <v>3647964.8003987642</v>
      </c>
      <c r="J3" s="192">
        <f>'Interventions cost'!AF3+'Interventions cost'!AG3+'Interventions cost'!AH3+'Interventions cost'!AI3</f>
        <v>67873955.878089324</v>
      </c>
      <c r="K3" s="240">
        <f>'Interventions cost'!P3+'Interventions cost'!Q3+'Interventions cost'!R3+'Interventions cost'!S3</f>
        <v>10618114.346054476</v>
      </c>
      <c r="L3" s="192">
        <f>'Interventions cost'!AJ3+'Interventions cost'!AK3+'Interventions cost'!AL3+'Interventions cost'!AM3</f>
        <v>197560410.82244778</v>
      </c>
      <c r="M3" s="240">
        <f>'Interventions cost'!T3+'Interventions cost'!U3+'Interventions cost'!V3+'Interventions cost'!W3</f>
        <v>1248998.6561480274</v>
      </c>
      <c r="N3" s="192">
        <f>'Interventions cost'!AN3+'Interventions cost'!AO3+'Interventions cost'!AP3+'Interventions cost'!AQ3</f>
        <v>23238842.565015219</v>
      </c>
      <c r="O3" s="240">
        <f>'Interventions cost'!AR3+'Interventions cost'!AS3+'Interventions cost'!AT3+'Interventions cost'!AU3</f>
        <v>4537351.5274444344</v>
      </c>
      <c r="P3" s="192">
        <f>'Interventions cost'!BL3+'Interventions cost'!BM3+'Interventions cost'!BN3+'Interventions cost'!BO3</f>
        <v>41635598.237160914</v>
      </c>
      <c r="Q3" s="240">
        <f>'Interventions cost'!AV3+'Interventions cost'!AW3+'Interventions cost'!AX3+'Interventions cost'!AY3</f>
        <v>3733156.4640953802</v>
      </c>
      <c r="R3" s="192">
        <f>'Interventions cost'!BP3+'Interventions cost'!BQ3+'Interventions cost'!BR3+'Interventions cost'!BS3</f>
        <v>34256151.800316721</v>
      </c>
      <c r="S3" s="240">
        <f>'Interventions cost'!AZ3+'Interventions cost'!BA3+'Interventions cost'!BB3+'Interventions cost'!BC3</f>
        <v>690695.78254534618</v>
      </c>
      <c r="T3" s="192">
        <f>'Interventions cost'!BT3+'Interventions cost'!BU3+'Interventions cost'!BV3+'Interventions cost'!BW3</f>
        <v>6337955.5082337987</v>
      </c>
      <c r="U3" s="240">
        <f>'Interventions cost'!BD3+'Interventions cost'!BE3+'Interventions cost'!BF3+'Interventions cost'!BG3</f>
        <v>798194.61688909493</v>
      </c>
      <c r="V3" s="192">
        <f>'Interventions cost'!BX3+'Interventions cost'!BY3+'Interventions cost'!BZ3+'Interventions cost'!CA3</f>
        <v>7324385.2019940093</v>
      </c>
      <c r="W3" s="240">
        <f>'Interventions cost'!BH3+'Interventions cost'!BI3+'Interventions cost'!BJ3+'Interventions cost'!BK3</f>
        <v>221730.43605244678</v>
      </c>
      <c r="X3" s="240">
        <f>'Interventions cost'!CB3+'Interventions cost'!CC3+'Interventions cost'!CD3+'Interventions cost'!CE3</f>
        <v>2034640.5378976292</v>
      </c>
      <c r="Y3" s="242">
        <f>'Interventions cost'!CF3+'Interventions cost'!CG3+'Interventions cost'!CH3+'Interventions cost'!CI3</f>
        <v>3913999.5552360038</v>
      </c>
      <c r="Z3" s="192">
        <f>'Interventions cost'!CJ3+'Interventions cost'!CK3+'Interventions cost'!CL3+'Interventions cost'!CM3</f>
        <v>35915602.306003705</v>
      </c>
      <c r="AA3" s="196">
        <f>'Food volume'!Y4+'Food volume'!Z4+'Food volume'!AA4+'Food volume'!AB4</f>
        <v>4974993.4975824114</v>
      </c>
      <c r="AB3" s="178">
        <f>'Food volume'!AC4+'Food volume'!AD4+'Food volume'!AE4+'Food volume'!AF4</f>
        <v>1521588.1791973887</v>
      </c>
      <c r="AC3" s="178">
        <f>'Food volume'!AG4+'Food volume'!AH4+'Food volume'!AI4+'Food volume'!AJ4</f>
        <v>1042275.6572567899</v>
      </c>
      <c r="AD3" s="178">
        <f>'Food volume'!AK4+'Food volume'!AL4+'Food volume'!AM4+'Food volume'!AN4</f>
        <v>3033746.9560155645</v>
      </c>
      <c r="AE3" s="178">
        <f>'Food volume'!AO4+'Food volume'!AP4+'Food volume'!AQ4+'Food volume'!AR4</f>
        <v>356856.75889943639</v>
      </c>
      <c r="AF3" s="118">
        <f>SUM('Food volume'!AS4:AV4)</f>
        <v>1296386.1506984096</v>
      </c>
      <c r="AG3" s="196">
        <f>'Food volume'!AW4+'Food volume'!AX4+'Food volume'!AY4+'Food volume'!AZ4</f>
        <v>1066616.13259868</v>
      </c>
      <c r="AH3" s="250">
        <f>'Food volume'!BA4+'Food volume'!BB4+'Food volume'!BC4+'Food volume'!BD4</f>
        <v>197341.65215581318</v>
      </c>
      <c r="AI3" s="250">
        <f>'Food volume'!BE4+'Food volume'!BF4+'Food volume'!BG4+'Food volume'!BH4</f>
        <v>228055.6048254557</v>
      </c>
      <c r="AJ3" s="247">
        <f>'Food volume'!BI4+'Food volume'!BJ4+'Food volume'!BK4+'Food volume'!BL4</f>
        <v>63351.553157841932</v>
      </c>
      <c r="AK3" s="250">
        <f>'Food volume'!BM4+'Food volume'!BN4+'Food volume'!BO4+'Food volume'!BP4</f>
        <v>1118285.5872102869</v>
      </c>
      <c r="AL3" s="220"/>
    </row>
    <row r="4" spans="1:38">
      <c r="A4" s="9">
        <v>3</v>
      </c>
      <c r="B4" s="1" t="s">
        <v>321</v>
      </c>
      <c r="C4" s="1" t="s">
        <v>322</v>
      </c>
      <c r="D4" s="1">
        <v>0</v>
      </c>
      <c r="E4" s="191">
        <f>'Interventions cost'!D4+'Interventions cost'!E4+'Interventions cost'!F4+'Interventions cost'!G4</f>
        <v>247976449.68051246</v>
      </c>
      <c r="F4" s="192">
        <f>'Interventions cost'!X4+'Interventions cost'!Y4+'Interventions cost'!Z4+'Interventions cost'!AA4</f>
        <v>3158555199.9500728</v>
      </c>
      <c r="G4" s="240">
        <f>'Interventions cost'!H4+'Interventions cost'!I4+'Interventions cost'!J4+'Interventions cost'!K4</f>
        <v>81838026.329410121</v>
      </c>
      <c r="H4" s="192">
        <f>'Interventions cost'!AB4+'Interventions cost'!AC4+'Interventions cost'!AD4+'Interventions cost'!AE4</f>
        <v>1042397066.1304419</v>
      </c>
      <c r="I4" s="240">
        <f>'Interventions cost'!L4+'Interventions cost'!M4+'Interventions cost'!N4+'Interventions cost'!O4</f>
        <v>75812901.703212306</v>
      </c>
      <c r="J4" s="192">
        <f>'Interventions cost'!AF4+'Interventions cost'!AG4+'Interventions cost'!AH4+'Interventions cost'!AI4</f>
        <v>965653130.39403188</v>
      </c>
      <c r="K4" s="240">
        <f>'Interventions cost'!P4+'Interventions cost'!Q4+'Interventions cost'!R4+'Interventions cost'!S4</f>
        <v>154700117.07249728</v>
      </c>
      <c r="L4" s="192">
        <f>'Interventions cost'!AJ4+'Interventions cost'!AK4+'Interventions cost'!AL4+'Interventions cost'!AM4</f>
        <v>1970464775.3516927</v>
      </c>
      <c r="M4" s="240">
        <f>'Interventions cost'!T4+'Interventions cost'!U4+'Interventions cost'!V4+'Interventions cost'!W4</f>
        <v>4498111.6271955967</v>
      </c>
      <c r="N4" s="192">
        <f>'Interventions cost'!AN4+'Interventions cost'!AO4+'Interventions cost'!AP4+'Interventions cost'!AQ4</f>
        <v>57293883.706856914</v>
      </c>
      <c r="O4" s="240">
        <f>'Interventions cost'!AR4+'Interventions cost'!AS4+'Interventions cost'!AT4+'Interventions cost'!AU4</f>
        <v>64854476.668950379</v>
      </c>
      <c r="P4" s="192">
        <f>'Interventions cost'!BL4+'Interventions cost'!BM4+'Interventions cost'!BN4+'Interventions cost'!BO4</f>
        <v>418362811.67326856</v>
      </c>
      <c r="Q4" s="240">
        <f>'Interventions cost'!AV4+'Interventions cost'!AW4+'Interventions cost'!AX4+'Interventions cost'!AY4</f>
        <v>48492518.303983867</v>
      </c>
      <c r="R4" s="192">
        <f>'Interventions cost'!BP4+'Interventions cost'!BQ4+'Interventions cost'!BR4+'Interventions cost'!BS4</f>
        <v>312815203.27932781</v>
      </c>
      <c r="S4" s="240">
        <f>'Interventions cost'!AZ4+'Interventions cost'!BA4+'Interventions cost'!BB4+'Interventions cost'!BC4</f>
        <v>19730087.741861954</v>
      </c>
      <c r="T4" s="192">
        <f>'Interventions cost'!BT4+'Interventions cost'!BU4+'Interventions cost'!BV4+'Interventions cost'!BW4</f>
        <v>127274714.19405484</v>
      </c>
      <c r="U4" s="240">
        <f>'Interventions cost'!BD4+'Interventions cost'!BE4+'Interventions cost'!BF4+'Interventions cost'!BG4</f>
        <v>15369818.712586954</v>
      </c>
      <c r="V4" s="192">
        <f>'Interventions cost'!BX4+'Interventions cost'!BY4+'Interventions cost'!BZ4+'Interventions cost'!CA4</f>
        <v>99147520.753718272</v>
      </c>
      <c r="W4" s="240">
        <f>'Interventions cost'!BH4+'Interventions cost'!BI4+'Interventions cost'!BJ4+'Interventions cost'!BK4</f>
        <v>912547.57296600379</v>
      </c>
      <c r="X4" s="240">
        <f>'Interventions cost'!CB4+'Interventions cost'!CC4+'Interventions cost'!CD4+'Interventions cost'!CE4</f>
        <v>5886655.602210002</v>
      </c>
      <c r="Y4" s="242">
        <f>'Interventions cost'!CF4+'Interventions cost'!CG4+'Interventions cost'!CH4+'Interventions cost'!CI4</f>
        <v>68242779.258310288</v>
      </c>
      <c r="Z4" s="192">
        <f>'Interventions cost'!CJ4+'Interventions cost'!CK4+'Interventions cost'!CL4+'Interventions cost'!CM4</f>
        <v>440220050.69348693</v>
      </c>
      <c r="AA4" s="196">
        <f>'Food volume'!Y5+'Food volume'!Z5+'Food volume'!AA5+'Food volume'!AB5</f>
        <v>70850414.194432139</v>
      </c>
      <c r="AB4" s="178">
        <f>'Food volume'!AC5+'Food volume'!AD5+'Food volume'!AE5+'Food volume'!AF5</f>
        <v>23382293.236974321</v>
      </c>
      <c r="AC4" s="178">
        <f>'Food volume'!AG5+'Food volume'!AH5+'Food volume'!AI5+'Food volume'!AJ5</f>
        <v>21660829.058060654</v>
      </c>
      <c r="AD4" s="178">
        <f>'Food volume'!AK5+'Food volume'!AL5+'Food volume'!AM5+'Food volume'!AN5</f>
        <v>44200033.449284934</v>
      </c>
      <c r="AE4" s="178">
        <f>'Food volume'!AO5+'Food volume'!AP5+'Food volume'!AQ5+'Food volume'!AR5</f>
        <v>1285174.7506273133</v>
      </c>
      <c r="AF4" s="118">
        <f>SUM('Food volume'!AS5:AV5)</f>
        <v>18529850.476842962</v>
      </c>
      <c r="AG4" s="196">
        <f>'Food volume'!AW5+'Food volume'!AX5+'Food volume'!AY5+'Food volume'!AZ5</f>
        <v>13855005.229709677</v>
      </c>
      <c r="AH4" s="250">
        <f>'Food volume'!BA5+'Food volume'!BB5+'Food volume'!BC5+'Food volume'!BD5</f>
        <v>5637167.9262462733</v>
      </c>
      <c r="AI4" s="250">
        <f>'Food volume'!BE5+'Food volume'!BF5+'Food volume'!BG5+'Food volume'!BH5</f>
        <v>4391376.7750248443</v>
      </c>
      <c r="AJ4" s="247">
        <f>'Food volume'!BI5+'Food volume'!BJ5+'Food volume'!BK5+'Food volume'!BL5</f>
        <v>260727.8779902868</v>
      </c>
      <c r="AK4" s="250">
        <f>'Food volume'!BM5+'Food volume'!BN5+'Food volume'!BO5+'Food volume'!BP5</f>
        <v>19497936.930945795</v>
      </c>
      <c r="AL4" s="220"/>
    </row>
    <row r="5" spans="1:38">
      <c r="A5" s="9">
        <v>4</v>
      </c>
      <c r="B5" s="1" t="s">
        <v>327</v>
      </c>
      <c r="C5" s="1" t="s">
        <v>328</v>
      </c>
      <c r="D5" s="1">
        <v>0</v>
      </c>
      <c r="E5" s="191">
        <f>'Interventions cost'!D5+'Interventions cost'!E5+'Interventions cost'!F5+'Interventions cost'!G5</f>
        <v>82536248.109253541</v>
      </c>
      <c r="F5" s="192">
        <f>'Interventions cost'!X5+'Interventions cost'!Y5+'Interventions cost'!Z5+'Interventions cost'!AA5</f>
        <v>1535667685.6909742</v>
      </c>
      <c r="G5" s="240">
        <f>'Interventions cost'!H5+'Interventions cost'!I5+'Interventions cost'!J5+'Interventions cost'!K5</f>
        <v>19597328.52658394</v>
      </c>
      <c r="H5" s="192">
        <f>'Interventions cost'!AB5+'Interventions cost'!AC5+'Interventions cost'!AD5+'Interventions cost'!AE5</f>
        <v>364627479.84749717</v>
      </c>
      <c r="I5" s="240">
        <f>'Interventions cost'!L5+'Interventions cost'!M5+'Interventions cost'!N5+'Interventions cost'!O5</f>
        <v>16095470.651585713</v>
      </c>
      <c r="J5" s="192">
        <f>'Interventions cost'!AF5+'Interventions cost'!AG5+'Interventions cost'!AH5+'Interventions cost'!AI5</f>
        <v>299471986.33149952</v>
      </c>
      <c r="K5" s="240">
        <f>'Interventions cost'!P5+'Interventions cost'!Q5+'Interventions cost'!R5+'Interventions cost'!S5</f>
        <v>30352975.786750734</v>
      </c>
      <c r="L5" s="192">
        <f>'Interventions cost'!AJ5+'Interventions cost'!AK5+'Interventions cost'!AL5+'Interventions cost'!AM5</f>
        <v>564746825.15945101</v>
      </c>
      <c r="M5" s="240">
        <f>'Interventions cost'!T5+'Interventions cost'!U5+'Interventions cost'!V5+'Interventions cost'!W5</f>
        <v>1475577.1755227176</v>
      </c>
      <c r="N5" s="192">
        <f>'Interventions cost'!AN5+'Interventions cost'!AO5+'Interventions cost'!AP5+'Interventions cost'!AQ5</f>
        <v>27454557.701652355</v>
      </c>
      <c r="O5" s="240">
        <f>'Interventions cost'!AR5+'Interventions cost'!AS5+'Interventions cost'!AT5+'Interventions cost'!AU5</f>
        <v>32138066.627212849</v>
      </c>
      <c r="P5" s="192">
        <f>'Interventions cost'!BL5+'Interventions cost'!BM5+'Interventions cost'!BN5+'Interventions cost'!BO5</f>
        <v>294904995.15328324</v>
      </c>
      <c r="Q5" s="240">
        <f>'Interventions cost'!AV5+'Interventions cost'!AW5+'Interventions cost'!AX5+'Interventions cost'!AY5</f>
        <v>22428571.589580324</v>
      </c>
      <c r="R5" s="192">
        <f>'Interventions cost'!BP5+'Interventions cost'!BQ5+'Interventions cost'!BR5+'Interventions cost'!BS5</f>
        <v>205808827.04125106</v>
      </c>
      <c r="S5" s="240">
        <f>'Interventions cost'!AZ5+'Interventions cost'!BA5+'Interventions cost'!BB5+'Interventions cost'!BC5</f>
        <v>8076772.8919199919</v>
      </c>
      <c r="T5" s="192">
        <f>'Interventions cost'!BT5+'Interventions cost'!BU5+'Interventions cost'!BV5+'Interventions cost'!BW5</f>
        <v>74114000.016696155</v>
      </c>
      <c r="U5" s="240">
        <f>'Interventions cost'!BD5+'Interventions cost'!BE5+'Interventions cost'!BF5+'Interventions cost'!BG5</f>
        <v>6410338.5781094981</v>
      </c>
      <c r="V5" s="192">
        <f>'Interventions cost'!BX5+'Interventions cost'!BY5+'Interventions cost'!BZ5+'Interventions cost'!CA5</f>
        <v>58822482.672543816</v>
      </c>
      <c r="W5" s="240">
        <f>'Interventions cost'!BH5+'Interventions cost'!BI5+'Interventions cost'!BJ5+'Interventions cost'!BK5</f>
        <v>407541.71954737441</v>
      </c>
      <c r="X5" s="240">
        <f>'Interventions cost'!CB5+'Interventions cost'!CC5+'Interventions cost'!CD5+'Interventions cost'!CE5</f>
        <v>3739680.118968694</v>
      </c>
      <c r="Y5" s="242">
        <f>'Interventions cost'!CF5+'Interventions cost'!CG5+'Interventions cost'!CH5+'Interventions cost'!CI5</f>
        <v>29680180.901942648</v>
      </c>
      <c r="Z5" s="192">
        <f>'Interventions cost'!CJ5+'Interventions cost'!CK5+'Interventions cost'!CL5+'Interventions cost'!CM5</f>
        <v>272350969.53917325</v>
      </c>
      <c r="AA5" s="196">
        <f>'Food volume'!Y6+'Food volume'!Z6+'Food volume'!AA6+'Food volume'!AB6</f>
        <v>23581785.174072441</v>
      </c>
      <c r="AB5" s="178">
        <f>'Food volume'!AC6+'Food volume'!AD6+'Food volume'!AE6+'Food volume'!AF6</f>
        <v>5599236.7218811251</v>
      </c>
      <c r="AC5" s="178">
        <f>'Food volume'!AG6+'Food volume'!AH6+'Food volume'!AI6+'Food volume'!AJ6</f>
        <v>4598705.9004530599</v>
      </c>
      <c r="AD5" s="178">
        <f>'Food volume'!AK6+'Food volume'!AL6+'Food volume'!AM6+'Food volume'!AN6</f>
        <v>8672278.7962144967</v>
      </c>
      <c r="AE5" s="178">
        <f>'Food volume'!AO6+'Food volume'!AP6+'Food volume'!AQ6+'Food volume'!AR6</f>
        <v>421593.4787207765</v>
      </c>
      <c r="AF5" s="118">
        <f>SUM('Food volume'!AS6:AV6)</f>
        <v>9182304.7506322414</v>
      </c>
      <c r="AG5" s="196">
        <f>'Food volume'!AW6+'Food volume'!AX6+'Food volume'!AY6+'Food volume'!AZ6</f>
        <v>6408163.3113086643</v>
      </c>
      <c r="AH5" s="250">
        <f>'Food volume'!BA6+'Food volume'!BB6+'Food volume'!BC6+'Food volume'!BD6</f>
        <v>2307649.3976914263</v>
      </c>
      <c r="AI5" s="250">
        <f>'Food volume'!BE6+'Food volume'!BF6+'Food volume'!BG6+'Food volume'!BH6</f>
        <v>1831525.3080312852</v>
      </c>
      <c r="AJ5" s="247">
        <f>'Food volume'!BI6+'Food volume'!BJ6+'Food volume'!BK6+'Food volume'!BL6</f>
        <v>116440.49129924981</v>
      </c>
      <c r="AK5" s="250">
        <f>'Food volume'!BM6+'Food volume'!BN6+'Food volume'!BO6+'Food volume'!BP6</f>
        <v>8480051.686269328</v>
      </c>
      <c r="AL5" s="220"/>
    </row>
    <row r="6" spans="1:38">
      <c r="A6" s="9">
        <v>5</v>
      </c>
      <c r="B6" s="1" t="s">
        <v>332</v>
      </c>
      <c r="C6" s="1" t="s">
        <v>333</v>
      </c>
      <c r="D6" s="1">
        <v>1</v>
      </c>
      <c r="E6" s="191">
        <f>'Interventions cost'!D6+'Interventions cost'!E6+'Interventions cost'!F6+'Interventions cost'!G6</f>
        <v>2074480599.0920999</v>
      </c>
      <c r="F6" s="192">
        <f>'Interventions cost'!X6+'Interventions cost'!Y6+'Interventions cost'!Z6+'Interventions cost'!AA6</f>
        <v>16683785210.097912</v>
      </c>
      <c r="G6" s="240">
        <f>'Interventions cost'!H6+'Interventions cost'!I6+'Interventions cost'!J6+'Interventions cost'!K6</f>
        <v>678314666.61473095</v>
      </c>
      <c r="H6" s="192">
        <f>'Interventions cost'!AB6+'Interventions cost'!AC6+'Interventions cost'!AD6+'Interventions cost'!AE6</f>
        <v>5455272132.9918356</v>
      </c>
      <c r="I6" s="240">
        <f>'Interventions cost'!L6+'Interventions cost'!M6+'Interventions cost'!N6+'Interventions cost'!O6</f>
        <v>239834731.19469595</v>
      </c>
      <c r="J6" s="192">
        <f>'Interventions cost'!AF6+'Interventions cost'!AG6+'Interventions cost'!AH6+'Interventions cost'!AI6</f>
        <v>1928844812.0098467</v>
      </c>
      <c r="K6" s="240">
        <f>'Interventions cost'!P6+'Interventions cost'!Q6+'Interventions cost'!R6+'Interventions cost'!S6</f>
        <v>1180776929.4456708</v>
      </c>
      <c r="L6" s="192">
        <f>'Interventions cost'!AJ6+'Interventions cost'!AK6+'Interventions cost'!AL6+'Interventions cost'!AM6</f>
        <v>9496270382.3463898</v>
      </c>
      <c r="M6" s="240">
        <f>'Interventions cost'!T6+'Interventions cost'!U6+'Interventions cost'!V6+'Interventions cost'!W6</f>
        <v>12252889.933702342</v>
      </c>
      <c r="N6" s="192">
        <f>'Interventions cost'!AN6+'Interventions cost'!AO6+'Interventions cost'!AP6+'Interventions cost'!AQ6</f>
        <v>98542538.284680739</v>
      </c>
      <c r="O6" s="240">
        <f>'Interventions cost'!AR6+'Interventions cost'!AS6+'Interventions cost'!AT6+'Interventions cost'!AU6</f>
        <v>511925766.07220888</v>
      </c>
      <c r="P6" s="192">
        <f>'Interventions cost'!BL6+'Interventions cost'!BM6+'Interventions cost'!BN6+'Interventions cost'!BO6</f>
        <v>2186166631.2056179</v>
      </c>
      <c r="Q6" s="240">
        <f>'Interventions cost'!AV6+'Interventions cost'!AW6+'Interventions cost'!AX6+'Interventions cost'!AY6</f>
        <v>547995129.47631764</v>
      </c>
      <c r="R6" s="192">
        <f>'Interventions cost'!BP6+'Interventions cost'!BQ6+'Interventions cost'!BR6+'Interventions cost'!BS6</f>
        <v>2340199977.2665181</v>
      </c>
      <c r="S6" s="240">
        <f>'Interventions cost'!AZ6+'Interventions cost'!BA6+'Interventions cost'!BB6+'Interventions cost'!BC6</f>
        <v>76296703.60688594</v>
      </c>
      <c r="T6" s="192">
        <f>'Interventions cost'!BT6+'Interventions cost'!BU6+'Interventions cost'!BV6+'Interventions cost'!BW6</f>
        <v>325823231.70823181</v>
      </c>
      <c r="U6" s="240">
        <f>'Interventions cost'!BD6+'Interventions cost'!BE6+'Interventions cost'!BF6+'Interventions cost'!BG6</f>
        <v>190776641.58353558</v>
      </c>
      <c r="V6" s="192">
        <f>'Interventions cost'!BX6+'Interventions cost'!BY6+'Interventions cost'!BZ6+'Interventions cost'!CA6</f>
        <v>814707044.42833328</v>
      </c>
      <c r="W6" s="240">
        <f>'Interventions cost'!BH6+'Interventions cost'!BI6+'Interventions cost'!BJ6+'Interventions cost'!BK6</f>
        <v>3859151.8261855249</v>
      </c>
      <c r="X6" s="240">
        <f>'Interventions cost'!CB6+'Interventions cost'!CC6+'Interventions cost'!CD6+'Interventions cost'!CE6</f>
        <v>16480414.752112683</v>
      </c>
      <c r="Y6" s="242">
        <f>'Interventions cost'!CF6+'Interventions cost'!CG6+'Interventions cost'!CH6+'Interventions cost'!CI6</f>
        <v>571430230.54448223</v>
      </c>
      <c r="Z6" s="192">
        <f>'Interventions cost'!CJ6+'Interventions cost'!CK6+'Interventions cost'!CL6+'Interventions cost'!CM6</f>
        <v>2440279010.8874316</v>
      </c>
      <c r="AA6" s="196">
        <f>'Food volume'!Y7+'Food volume'!Z7+'Food volume'!AA7+'Food volume'!AB7</f>
        <v>592708742.59774292</v>
      </c>
      <c r="AB6" s="178">
        <f>'Food volume'!AC7+'Food volume'!AD7+'Food volume'!AE7+'Food volume'!AF7</f>
        <v>193804190.46135169</v>
      </c>
      <c r="AC6" s="178">
        <f>'Food volume'!AG7+'Food volume'!AH7+'Food volume'!AI7+'Food volume'!AJ7</f>
        <v>68524208.912770271</v>
      </c>
      <c r="AD6" s="178">
        <f>'Food volume'!AK7+'Food volume'!AL7+'Food volume'!AM7+'Food volume'!AN7</f>
        <v>337364836.9844774</v>
      </c>
      <c r="AE6" s="178">
        <f>'Food volume'!AO7+'Food volume'!AP7+'Food volume'!AQ7+'Food volume'!AR7</f>
        <v>3500825.695343527</v>
      </c>
      <c r="AF6" s="118">
        <f>SUM('Food volume'!AS7:AV7)</f>
        <v>146264504.59205967</v>
      </c>
      <c r="AG6" s="196">
        <f>'Food volume'!AW7+'Food volume'!AX7+'Food volume'!AY7+'Food volume'!AZ7</f>
        <v>156570036.99323365</v>
      </c>
      <c r="AH6" s="250">
        <f>'Food volume'!BA7+'Food volume'!BB7+'Food volume'!BC7+'Food volume'!BD7</f>
        <v>21799058.173395984</v>
      </c>
      <c r="AI6" s="250">
        <f>'Food volume'!BE7+'Food volume'!BF7+'Food volume'!BG7+'Food volume'!BH7</f>
        <v>54507611.881010175</v>
      </c>
      <c r="AJ6" s="247">
        <f>'Food volume'!BI7+'Food volume'!BJ7+'Food volume'!BK7+'Food volume'!BL7</f>
        <v>1102614.8074815786</v>
      </c>
      <c r="AK6" s="250">
        <f>'Food volume'!BM7+'Food volume'!BN7+'Food volume'!BO7+'Food volume'!BP7</f>
        <v>163265780.15556636</v>
      </c>
      <c r="AL6" s="220"/>
    </row>
    <row r="7" spans="1:38">
      <c r="A7" s="9">
        <v>6</v>
      </c>
      <c r="B7" s="1" t="s">
        <v>337</v>
      </c>
      <c r="C7" s="1" t="s">
        <v>338</v>
      </c>
      <c r="D7" s="1">
        <v>0</v>
      </c>
      <c r="E7" s="191">
        <f>'Interventions cost'!D7+'Interventions cost'!E7+'Interventions cost'!F7+'Interventions cost'!G7</f>
        <v>208641439.93684256</v>
      </c>
      <c r="F7" s="192">
        <f>'Interventions cost'!X7+'Interventions cost'!Y7+'Interventions cost'!Z7+'Interventions cost'!AA7</f>
        <v>2657532624.1126266</v>
      </c>
      <c r="G7" s="240">
        <f>'Interventions cost'!H7+'Interventions cost'!I7+'Interventions cost'!J7+'Interventions cost'!K7</f>
        <v>44937871.876277432</v>
      </c>
      <c r="H7" s="192">
        <f>'Interventions cost'!AB7+'Interventions cost'!AC7+'Interventions cost'!AD7+'Interventions cost'!AE7</f>
        <v>572388019.39610434</v>
      </c>
      <c r="I7" s="240">
        <f>'Interventions cost'!L7+'Interventions cost'!M7+'Interventions cost'!N7+'Interventions cost'!O7</f>
        <v>26753150.369991578</v>
      </c>
      <c r="J7" s="192">
        <f>'Interventions cost'!AF7+'Interventions cost'!AG7+'Interventions cost'!AH7+'Interventions cost'!AI7</f>
        <v>340763416.54642117</v>
      </c>
      <c r="K7" s="240">
        <f>'Interventions cost'!P7+'Interventions cost'!Q7+'Interventions cost'!R7+'Interventions cost'!S7</f>
        <v>124523628.86056957</v>
      </c>
      <c r="L7" s="192">
        <f>'Interventions cost'!AJ7+'Interventions cost'!AK7+'Interventions cost'!AL7+'Interventions cost'!AM7</f>
        <v>1586097211.8963046</v>
      </c>
      <c r="M7" s="240">
        <f>'Interventions cost'!T7+'Interventions cost'!U7+'Interventions cost'!V7+'Interventions cost'!W7</f>
        <v>5584584.6923737908</v>
      </c>
      <c r="N7" s="192">
        <f>'Interventions cost'!AN7+'Interventions cost'!AO7+'Interventions cost'!AP7+'Interventions cost'!AQ7</f>
        <v>71132637.967778027</v>
      </c>
      <c r="O7" s="240">
        <f>'Interventions cost'!AR7+'Interventions cost'!AS7+'Interventions cost'!AT7+'Interventions cost'!AU7</f>
        <v>39851717.123935543</v>
      </c>
      <c r="P7" s="192">
        <f>'Interventions cost'!BL7+'Interventions cost'!BM7+'Interventions cost'!BN7+'Interventions cost'!BO7</f>
        <v>257075182.50562811</v>
      </c>
      <c r="Q7" s="240">
        <f>'Interventions cost'!AV7+'Interventions cost'!AW7+'Interventions cost'!AX7+'Interventions cost'!AY7</f>
        <v>33334654.127664141</v>
      </c>
      <c r="R7" s="192">
        <f>'Interventions cost'!BP7+'Interventions cost'!BQ7+'Interventions cost'!BR7+'Interventions cost'!BS7</f>
        <v>215034957.38918281</v>
      </c>
      <c r="S7" s="240">
        <f>'Interventions cost'!AZ7+'Interventions cost'!BA7+'Interventions cost'!BB7+'Interventions cost'!BC7</f>
        <v>5900809.2869417863</v>
      </c>
      <c r="T7" s="192">
        <f>'Interventions cost'!BT7+'Interventions cost'!BU7+'Interventions cost'!BV7+'Interventions cost'!BW7</f>
        <v>38064899.930255726</v>
      </c>
      <c r="U7" s="240">
        <f>'Interventions cost'!BD7+'Interventions cost'!BE7+'Interventions cost'!BF7+'Interventions cost'!BG7</f>
        <v>10918180.472887598</v>
      </c>
      <c r="V7" s="192">
        <f>'Interventions cost'!BX7+'Interventions cost'!BY7+'Interventions cost'!BZ7+'Interventions cost'!CA7</f>
        <v>70430923.439712003</v>
      </c>
      <c r="W7" s="240">
        <f>'Interventions cost'!BH7+'Interventions cost'!BI7+'Interventions cost'!BJ7+'Interventions cost'!BK7</f>
        <v>666518.84906181309</v>
      </c>
      <c r="X7" s="240">
        <f>'Interventions cost'!CB7+'Interventions cost'!CC7+'Interventions cost'!CD7+'Interventions cost'!CE7</f>
        <v>4299575.2035762127</v>
      </c>
      <c r="Y7" s="242">
        <f>'Interventions cost'!CF7+'Interventions cost'!CG7+'Interventions cost'!CH7+'Interventions cost'!CI7</f>
        <v>44984993.152215138</v>
      </c>
      <c r="Z7" s="192">
        <f>'Interventions cost'!CJ7+'Interventions cost'!CK7+'Interventions cost'!CL7+'Interventions cost'!CM7</f>
        <v>290188884.17418545</v>
      </c>
      <c r="AA7" s="196">
        <f>'Food volume'!Y8+'Food volume'!Z8+'Food volume'!AA8+'Food volume'!AB8</f>
        <v>59611839.981955022</v>
      </c>
      <c r="AB7" s="178">
        <f>'Food volume'!AC8+'Food volume'!AD8+'Food volume'!AE8+'Food volume'!AF8</f>
        <v>12839391.964650696</v>
      </c>
      <c r="AC7" s="178">
        <f>'Food volume'!AG8+'Food volume'!AH8+'Food volume'!AI8+'Food volume'!AJ8</f>
        <v>7643757.248569021</v>
      </c>
      <c r="AD7" s="178">
        <f>'Food volume'!AK8+'Food volume'!AL8+'Food volume'!AM8+'Food volume'!AN8</f>
        <v>35578179.674448445</v>
      </c>
      <c r="AE7" s="178">
        <f>'Food volume'!AO8+'Food volume'!AP8+'Food volume'!AQ8+'Food volume'!AR8</f>
        <v>1595595.6263925117</v>
      </c>
      <c r="AF7" s="118">
        <f>SUM('Food volume'!AS8:AV8)</f>
        <v>11386204.892553011</v>
      </c>
      <c r="AG7" s="196">
        <f>'Food volume'!AW8+'Food volume'!AX8+'Food volume'!AY8+'Food volume'!AZ8</f>
        <v>9524186.8936183266</v>
      </c>
      <c r="AH7" s="250">
        <f>'Food volume'!BA8+'Food volume'!BB8+'Food volume'!BC8+'Food volume'!BD8</f>
        <v>1685945.5105547961</v>
      </c>
      <c r="AI7" s="250">
        <f>'Food volume'!BE8+'Food volume'!BF8+'Food volume'!BG8+'Food volume'!BH8</f>
        <v>3119480.1351107419</v>
      </c>
      <c r="AJ7" s="247">
        <f>'Food volume'!BI8+'Food volume'!BJ8+'Food volume'!BK8+'Food volume'!BL8</f>
        <v>190433.95687480376</v>
      </c>
      <c r="AK7" s="250">
        <f>'Food volume'!BM8+'Food volume'!BN8+'Food volume'!BO8+'Food volume'!BP8</f>
        <v>12852855.186347181</v>
      </c>
      <c r="AL7" s="220"/>
    </row>
    <row r="8" spans="1:38">
      <c r="A8" s="9">
        <v>7</v>
      </c>
      <c r="B8" s="1" t="s">
        <v>342</v>
      </c>
      <c r="C8" s="1" t="s">
        <v>343</v>
      </c>
      <c r="D8" s="1">
        <v>0</v>
      </c>
      <c r="E8" s="191">
        <f>'Interventions cost'!D8+'Interventions cost'!E8+'Interventions cost'!F8+'Interventions cost'!G8</f>
        <v>79171287.429588914</v>
      </c>
      <c r="F8" s="192">
        <f>'Interventions cost'!X8+'Interventions cost'!Y8+'Interventions cost'!Z8+'Interventions cost'!AA8</f>
        <v>1473059298.494339</v>
      </c>
      <c r="G8" s="240">
        <f>'Interventions cost'!H8+'Interventions cost'!I8+'Interventions cost'!J8+'Interventions cost'!K8</f>
        <v>23772014.55311247</v>
      </c>
      <c r="H8" s="192">
        <f>'Interventions cost'!AB8+'Interventions cost'!AC8+'Interventions cost'!AD8+'Interventions cost'!AE8</f>
        <v>442301599.71249688</v>
      </c>
      <c r="I8" s="240">
        <f>'Interventions cost'!L8+'Interventions cost'!M8+'Interventions cost'!N8+'Interventions cost'!O8</f>
        <v>11401270.307910122</v>
      </c>
      <c r="J8" s="192">
        <f>'Interventions cost'!AF8+'Interventions cost'!AG8+'Interventions cost'!AH8+'Interventions cost'!AI8</f>
        <v>212131794.07560918</v>
      </c>
      <c r="K8" s="240">
        <f>'Interventions cost'!P8+'Interventions cost'!Q8+'Interventions cost'!R8+'Interventions cost'!S8</f>
        <v>41969454.445961259</v>
      </c>
      <c r="L8" s="192">
        <f>'Interventions cost'!AJ8+'Interventions cost'!AK8+'Interventions cost'!AL8+'Interventions cost'!AM8</f>
        <v>780882781.26512229</v>
      </c>
      <c r="M8" s="240">
        <f>'Interventions cost'!T8+'Interventions cost'!U8+'Interventions cost'!V8+'Interventions cost'!W8</f>
        <v>528271.46539100586</v>
      </c>
      <c r="N8" s="192">
        <f>'Interventions cost'!AN8+'Interventions cost'!AO8+'Interventions cost'!AP8+'Interventions cost'!AQ8</f>
        <v>9829007.7057989314</v>
      </c>
      <c r="O8" s="240">
        <f>'Interventions cost'!AR8+'Interventions cost'!AS8+'Interventions cost'!AT8+'Interventions cost'!AU8</f>
        <v>16159622.974467017</v>
      </c>
      <c r="P8" s="192">
        <f>'Interventions cost'!BL8+'Interventions cost'!BM8+'Interventions cost'!BN8+'Interventions cost'!BO8</f>
        <v>148283765.48727599</v>
      </c>
      <c r="Q8" s="240">
        <f>'Interventions cost'!AV8+'Interventions cost'!AW8+'Interventions cost'!AX8+'Interventions cost'!AY8</f>
        <v>17169174.416508123</v>
      </c>
      <c r="R8" s="192">
        <f>'Interventions cost'!BP8+'Interventions cost'!BQ8+'Interventions cost'!BR8+'Interventions cost'!BS8</f>
        <v>157547601.00593245</v>
      </c>
      <c r="S8" s="240">
        <f>'Interventions cost'!AZ8+'Interventions cost'!BA8+'Interventions cost'!BB8+'Interventions cost'!BC8</f>
        <v>3128889.9861699734</v>
      </c>
      <c r="T8" s="192">
        <f>'Interventions cost'!BT8+'Interventions cost'!BU8+'Interventions cost'!BV8+'Interventions cost'!BW8</f>
        <v>28711287.98473822</v>
      </c>
      <c r="U8" s="240">
        <f>'Interventions cost'!BD8+'Interventions cost'!BE8+'Interventions cost'!BF8+'Interventions cost'!BG8</f>
        <v>3188470.6157200793</v>
      </c>
      <c r="V8" s="192">
        <f>'Interventions cost'!BX8+'Interventions cost'!BY8+'Interventions cost'!BZ8+'Interventions cost'!CA8</f>
        <v>29258011.142435133</v>
      </c>
      <c r="W8" s="240">
        <f>'Interventions cost'!BH8+'Interventions cost'!BI8+'Interventions cost'!BJ8+'Interventions cost'!BK8</f>
        <v>66176.365749163626</v>
      </c>
      <c r="X8" s="240">
        <f>'Interventions cost'!CB8+'Interventions cost'!CC8+'Interventions cost'!CD8+'Interventions cost'!CE8</f>
        <v>607246.88410453673</v>
      </c>
      <c r="Y8" s="242">
        <f>'Interventions cost'!CF8+'Interventions cost'!CG8+'Interventions cost'!CH8+'Interventions cost'!CI8</f>
        <v>19434640.032888174</v>
      </c>
      <c r="Z8" s="192">
        <f>'Interventions cost'!CJ8+'Interventions cost'!CK8+'Interventions cost'!CL8+'Interventions cost'!CM8</f>
        <v>178335943.20361713</v>
      </c>
      <c r="AA8" s="196">
        <f>'Food volume'!Y9+'Food volume'!Z9+'Food volume'!AA9+'Food volume'!AB9</f>
        <v>22620367.837025408</v>
      </c>
      <c r="AB8" s="178">
        <f>'Food volume'!AC9+'Food volume'!AD9+'Food volume'!AE9+'Food volume'!AF9</f>
        <v>6792004.1580321342</v>
      </c>
      <c r="AC8" s="178">
        <f>'Food volume'!AG9+'Food volume'!AH9+'Food volume'!AI9+'Food volume'!AJ9</f>
        <v>3257505.8022600347</v>
      </c>
      <c r="AD8" s="178">
        <f>'Food volume'!AK9+'Food volume'!AL9+'Food volume'!AM9+'Food volume'!AN9</f>
        <v>11991272.698846074</v>
      </c>
      <c r="AE8" s="178">
        <f>'Food volume'!AO9+'Food volume'!AP9+'Food volume'!AQ9+'Food volume'!AR9</f>
        <v>150934.70439743024</v>
      </c>
      <c r="AF8" s="118">
        <f>SUM('Food volume'!AS9:AV9)</f>
        <v>4617035.1355620045</v>
      </c>
      <c r="AG8" s="196">
        <f>'Food volume'!AW9+'Food volume'!AX9+'Food volume'!AY9+'Food volume'!AZ9</f>
        <v>4905478.4047166053</v>
      </c>
      <c r="AH8" s="250">
        <f>'Food volume'!BA9+'Food volume'!BB9+'Food volume'!BC9+'Food volume'!BD9</f>
        <v>893968.56747713522</v>
      </c>
      <c r="AI8" s="250">
        <f>'Food volume'!BE9+'Food volume'!BF9+'Food volume'!BG9+'Food volume'!BH9</f>
        <v>910991.60449145129</v>
      </c>
      <c r="AJ8" s="247">
        <f>'Food volume'!BI9+'Food volume'!BJ9+'Food volume'!BK9+'Food volume'!BL9</f>
        <v>18907.533071189606</v>
      </c>
      <c r="AK8" s="250">
        <f>'Food volume'!BM9+'Food volume'!BN9+'Food volume'!BO9+'Food volume'!BP9</f>
        <v>5552754.2951109074</v>
      </c>
      <c r="AL8" s="220"/>
    </row>
    <row r="9" spans="1:38">
      <c r="A9" s="9">
        <v>8</v>
      </c>
      <c r="B9" s="1" t="s">
        <v>348</v>
      </c>
      <c r="C9" s="1" t="s">
        <v>349</v>
      </c>
      <c r="D9" s="1">
        <v>0</v>
      </c>
      <c r="E9" s="191">
        <f>'Interventions cost'!D9+'Interventions cost'!E9+'Interventions cost'!F9+'Interventions cost'!G9</f>
        <v>49776217.549269333</v>
      </c>
      <c r="F9" s="192">
        <f>'Interventions cost'!X9+'Interventions cost'!Y9+'Interventions cost'!Z9+'Interventions cost'!AA9</f>
        <v>487955733.95401853</v>
      </c>
      <c r="G9" s="240">
        <f>'Interventions cost'!H9+'Interventions cost'!I9+'Interventions cost'!J9+'Interventions cost'!K9</f>
        <v>10438853.890307931</v>
      </c>
      <c r="H9" s="192">
        <f>'Interventions cost'!AB9+'Interventions cost'!AC9+'Interventions cost'!AD9+'Interventions cost'!AE9</f>
        <v>102331974.23332015</v>
      </c>
      <c r="I9" s="240">
        <f>'Interventions cost'!L9+'Interventions cost'!M9+'Interventions cost'!N9+'Interventions cost'!O9</f>
        <v>14421949.767945938</v>
      </c>
      <c r="J9" s="192">
        <f>'Interventions cost'!AF9+'Interventions cost'!AG9+'Interventions cost'!AH9+'Interventions cost'!AI9</f>
        <v>141378220.97672319</v>
      </c>
      <c r="K9" s="240">
        <f>'Interventions cost'!P9+'Interventions cost'!Q9+'Interventions cost'!R9+'Interventions cost'!S9</f>
        <v>26864578.669539873</v>
      </c>
      <c r="L9" s="192">
        <f>'Interventions cost'!AJ9+'Interventions cost'!AK9+'Interventions cost'!AL9+'Interventions cost'!AM9</f>
        <v>263353180.44376442</v>
      </c>
      <c r="M9" s="240">
        <f>'Interventions cost'!T9+'Interventions cost'!U9+'Interventions cost'!V9+'Interventions cost'!W9</f>
        <v>556278.75937773229</v>
      </c>
      <c r="N9" s="192">
        <f>'Interventions cost'!AN9+'Interventions cost'!AO9+'Interventions cost'!AP9+'Interventions cost'!AQ9</f>
        <v>5453194.7922020582</v>
      </c>
      <c r="O9" s="240">
        <f>'Interventions cost'!AR9+'Interventions cost'!AS9+'Interventions cost'!AT9+'Interventions cost'!AU9</f>
        <v>11222135.277816076</v>
      </c>
      <c r="P9" s="192">
        <f>'Interventions cost'!BL9+'Interventions cost'!BM9+'Interventions cost'!BN9+'Interventions cost'!BO9</f>
        <v>57099288.571768336</v>
      </c>
      <c r="Q9" s="240">
        <f>'Interventions cost'!AV9+'Interventions cost'!AW9+'Interventions cost'!AX9+'Interventions cost'!AY9</f>
        <v>8599606.6280411147</v>
      </c>
      <c r="R9" s="192">
        <f>'Interventions cost'!BP9+'Interventions cost'!BQ9+'Interventions cost'!BR9+'Interventions cost'!BS9</f>
        <v>43755614.087889537</v>
      </c>
      <c r="S9" s="240">
        <f>'Interventions cost'!AZ9+'Interventions cost'!BA9+'Interventions cost'!BB9+'Interventions cost'!BC9</f>
        <v>3428094.8369150758</v>
      </c>
      <c r="T9" s="192">
        <f>'Interventions cost'!BT9+'Interventions cost'!BU9+'Interventions cost'!BV9+'Interventions cost'!BW9</f>
        <v>17442471.641858168</v>
      </c>
      <c r="U9" s="240">
        <f>'Interventions cost'!BD9+'Interventions cost'!BE9+'Interventions cost'!BF9+'Interventions cost'!BG9</f>
        <v>3635585.3562726956</v>
      </c>
      <c r="V9" s="192">
        <f>'Interventions cost'!BX9+'Interventions cost'!BY9+'Interventions cost'!BZ9+'Interventions cost'!CA9</f>
        <v>18498203.082213111</v>
      </c>
      <c r="W9" s="240">
        <f>'Interventions cost'!BH9+'Interventions cost'!BI9+'Interventions cost'!BJ9+'Interventions cost'!BK9</f>
        <v>70978.181141603025</v>
      </c>
      <c r="X9" s="240">
        <f>'Interventions cost'!CB9+'Interventions cost'!CC9+'Interventions cost'!CD9+'Interventions cost'!CE9</f>
        <v>361143.71703531512</v>
      </c>
      <c r="Y9" s="242">
        <f>'Interventions cost'!CF9+'Interventions cost'!CG9+'Interventions cost'!CH9+'Interventions cost'!CI9</f>
        <v>12088365.348016106</v>
      </c>
      <c r="Z9" s="192">
        <f>'Interventions cost'!CJ9+'Interventions cost'!CK9+'Interventions cost'!CL9+'Interventions cost'!CM9</f>
        <v>61506749.319962084</v>
      </c>
      <c r="AA9" s="196">
        <f>'Food volume'!Y10+'Food volume'!Z10+'Food volume'!AA10+'Food volume'!AB10</f>
        <v>14221776.442648381</v>
      </c>
      <c r="AB9" s="178">
        <f>'Food volume'!AC10+'Food volume'!AD10+'Food volume'!AE10+'Food volume'!AF10</f>
        <v>2982529.6829451229</v>
      </c>
      <c r="AC9" s="178">
        <f>'Food volume'!AG10+'Food volume'!AH10+'Food volume'!AI10+'Food volume'!AJ10</f>
        <v>4120557.0765559822</v>
      </c>
      <c r="AD9" s="178">
        <f>'Food volume'!AK10+'Food volume'!AL10+'Food volume'!AM10+'Food volume'!AN10</f>
        <v>7675593.905582821</v>
      </c>
      <c r="AE9" s="178">
        <f>'Food volume'!AO10+'Food volume'!AP10+'Food volume'!AQ10+'Food volume'!AR10</f>
        <v>158936.78839363778</v>
      </c>
      <c r="AF9" s="118">
        <f>SUM('Food volume'!AS10:AV10)</f>
        <v>3206324.3650903078</v>
      </c>
      <c r="AG9" s="196">
        <f>'Food volume'!AW10+'Food volume'!AX10+'Food volume'!AY10+'Food volume'!AZ10</f>
        <v>2457030.4651546041</v>
      </c>
      <c r="AH9" s="250">
        <f>'Food volume'!BA10+'Food volume'!BB10+'Food volume'!BC10+'Food volume'!BD10</f>
        <v>979455.66769002168</v>
      </c>
      <c r="AI9" s="250">
        <f>'Food volume'!BE10+'Food volume'!BF10+'Food volume'!BG10+'Food volume'!BH10</f>
        <v>1038738.6732207702</v>
      </c>
      <c r="AJ9" s="247">
        <f>'Food volume'!BI10+'Food volume'!BJ10+'Food volume'!BK10+'Food volume'!BL10</f>
        <v>20279.480326172292</v>
      </c>
      <c r="AK9" s="250">
        <f>'Food volume'!BM10+'Food volume'!BN10+'Food volume'!BO10+'Food volume'!BP10</f>
        <v>3453818.6708617443</v>
      </c>
      <c r="AL9" s="220"/>
    </row>
    <row r="10" spans="1:38">
      <c r="A10" s="9">
        <v>9</v>
      </c>
      <c r="B10" s="1" t="s">
        <v>353</v>
      </c>
      <c r="C10" s="1" t="s">
        <v>354</v>
      </c>
      <c r="D10" s="1">
        <v>0</v>
      </c>
      <c r="E10" s="191">
        <f>'Interventions cost'!D10+'Interventions cost'!E10+'Interventions cost'!F10+'Interventions cost'!G10</f>
        <v>748537306.01328087</v>
      </c>
      <c r="F10" s="192">
        <f>'Interventions cost'!X10+'Interventions cost'!Y10+'Interventions cost'!Z10+'Interventions cost'!AA10</f>
        <v>9534358618.7760029</v>
      </c>
      <c r="G10" s="240">
        <f>'Interventions cost'!H10+'Interventions cost'!I10+'Interventions cost'!J10+'Interventions cost'!K10</f>
        <v>146507067.27577645</v>
      </c>
      <c r="H10" s="192">
        <f>'Interventions cost'!AB10+'Interventions cost'!AC10+'Interventions cost'!AD10+'Interventions cost'!AE10</f>
        <v>1866107284.6616564</v>
      </c>
      <c r="I10" s="240">
        <f>'Interventions cost'!L10+'Interventions cost'!M10+'Interventions cost'!N10+'Interventions cost'!O10</f>
        <v>208168816.33974248</v>
      </c>
      <c r="J10" s="192">
        <f>'Interventions cost'!AF10+'Interventions cost'!AG10+'Interventions cost'!AH10+'Interventions cost'!AI10</f>
        <v>2651512666.4829288</v>
      </c>
      <c r="K10" s="240">
        <f>'Interventions cost'!P10+'Interventions cost'!Q10+'Interventions cost'!R10+'Interventions cost'!S10</f>
        <v>378710727.79892409</v>
      </c>
      <c r="L10" s="192">
        <f>'Interventions cost'!AJ10+'Interventions cost'!AK10+'Interventions cost'!AL10+'Interventions cost'!AM10</f>
        <v>4823759434.0402069</v>
      </c>
      <c r="M10" s="240">
        <f>'Interventions cost'!T10+'Interventions cost'!U10+'Interventions cost'!V10+'Interventions cost'!W10</f>
        <v>13263847.726198722</v>
      </c>
      <c r="N10" s="192">
        <f>'Interventions cost'!AN10+'Interventions cost'!AO10+'Interventions cost'!AP10+'Interventions cost'!AQ10</f>
        <v>168945862.64504966</v>
      </c>
      <c r="O10" s="240">
        <f>'Interventions cost'!AR10+'Interventions cost'!AS10+'Interventions cost'!AT10+'Interventions cost'!AU10</f>
        <v>208040114.45435947</v>
      </c>
      <c r="P10" s="192">
        <f>'Interventions cost'!BL10+'Interventions cost'!BM10+'Interventions cost'!BN10+'Interventions cost'!BO10</f>
        <v>1342023738.2876573</v>
      </c>
      <c r="Q10" s="240">
        <f>'Interventions cost'!AV10+'Interventions cost'!AW10+'Interventions cost'!AX10+'Interventions cost'!AY10</f>
        <v>126645335.7675007</v>
      </c>
      <c r="R10" s="192">
        <f>'Interventions cost'!BP10+'Interventions cost'!BQ10+'Interventions cost'!BR10+'Interventions cost'!BS10</f>
        <v>816962860.21167052</v>
      </c>
      <c r="S10" s="240">
        <f>'Interventions cost'!AZ10+'Interventions cost'!BA10+'Interventions cost'!BB10+'Interventions cost'!BC10</f>
        <v>62201616.372775108</v>
      </c>
      <c r="T10" s="192">
        <f>'Interventions cost'!BT10+'Interventions cost'!BU10+'Interventions cost'!BV10+'Interventions cost'!BW10</f>
        <v>401249758.73554254</v>
      </c>
      <c r="U10" s="240">
        <f>'Interventions cost'!BD10+'Interventions cost'!BE10+'Interventions cost'!BF10+'Interventions cost'!BG10</f>
        <v>59181050.667101018</v>
      </c>
      <c r="V10" s="192">
        <f>'Interventions cost'!BX10+'Interventions cost'!BY10+'Interventions cost'!BZ10+'Interventions cost'!CA10</f>
        <v>381764714.2733047</v>
      </c>
      <c r="W10" s="240">
        <f>'Interventions cost'!BH10+'Interventions cost'!BI10+'Interventions cost'!BJ10+'Interventions cost'!BK10</f>
        <v>3018764.7381347008</v>
      </c>
      <c r="X10" s="240">
        <f>'Interventions cost'!CB10+'Interventions cost'!CC10+'Interventions cost'!CD10+'Interventions cost'!CE10</f>
        <v>19473426.793231595</v>
      </c>
      <c r="Y10" s="242">
        <f>'Interventions cost'!CF10+'Interventions cost'!CG10+'Interventions cost'!CH10+'Interventions cost'!CI10</f>
        <v>213919336.12813306</v>
      </c>
      <c r="Z10" s="192">
        <f>'Interventions cost'!CJ10+'Interventions cost'!CK10+'Interventions cost'!CL10+'Interventions cost'!CM10</f>
        <v>1379949380.9914849</v>
      </c>
      <c r="AA10" s="196">
        <f>'Food volume'!Y11+'Food volume'!Z11+'Food volume'!AA11+'Food volume'!AB11</f>
        <v>213867801.71808028</v>
      </c>
      <c r="AB10" s="178">
        <f>'Food volume'!AC11+'Food volume'!AD11+'Food volume'!AE11+'Food volume'!AF11</f>
        <v>41859162.078793272</v>
      </c>
      <c r="AC10" s="178">
        <f>'Food volume'!AG11+'Food volume'!AH11+'Food volume'!AI11+'Food volume'!AJ11</f>
        <v>59476804.668497846</v>
      </c>
      <c r="AD10" s="178">
        <f>'Food volume'!AK11+'Food volume'!AL11+'Food volume'!AM11+'Food volume'!AN11</f>
        <v>108203065.0854069</v>
      </c>
      <c r="AE10" s="178">
        <f>'Food volume'!AO11+'Food volume'!AP11+'Food volume'!AQ11+'Food volume'!AR11</f>
        <v>3789670.7789139207</v>
      </c>
      <c r="AF10" s="118">
        <f>SUM('Food volume'!AS11:AV11)</f>
        <v>59440032.701245561</v>
      </c>
      <c r="AG10" s="196">
        <f>'Food volume'!AW11+'Food volume'!AX11+'Food volume'!AY11+'Food volume'!AZ11</f>
        <v>36184381.647857338</v>
      </c>
      <c r="AH10" s="250">
        <f>'Food volume'!BA11+'Food volume'!BB11+'Food volume'!BC11+'Food volume'!BD11</f>
        <v>17771890.392221458</v>
      </c>
      <c r="AI10" s="250">
        <f>'Food volume'!BE11+'Food volume'!BF11+'Food volume'!BG11+'Food volume'!BH11</f>
        <v>16908871.619171716</v>
      </c>
      <c r="AJ10" s="247">
        <f>'Food volume'!BI11+'Food volume'!BJ11+'Food volume'!BK11+'Food volume'!BL11</f>
        <v>862504.2108956289</v>
      </c>
      <c r="AK10" s="250">
        <f>'Food volume'!BM11+'Food volume'!BN11+'Food volume'!BO11+'Food volume'!BP11</f>
        <v>61119810.322323732</v>
      </c>
      <c r="AL10" s="220"/>
    </row>
    <row r="11" spans="1:38">
      <c r="A11" s="9">
        <v>10</v>
      </c>
      <c r="B11" s="1" t="s">
        <v>358</v>
      </c>
      <c r="C11" s="1" t="s">
        <v>359</v>
      </c>
      <c r="D11" s="1">
        <v>0</v>
      </c>
      <c r="E11" s="191">
        <f>'Interventions cost'!D11+'Interventions cost'!E11+'Interventions cost'!F11+'Interventions cost'!G11</f>
        <v>381137594.00928748</v>
      </c>
      <c r="F11" s="192">
        <f>'Interventions cost'!X11+'Interventions cost'!Y11+'Interventions cost'!Z11+'Interventions cost'!AA11</f>
        <v>4854671203.6788244</v>
      </c>
      <c r="G11" s="240">
        <f>'Interventions cost'!H11+'Interventions cost'!I11+'Interventions cost'!J11+'Interventions cost'!K11</f>
        <v>88307950.652306318</v>
      </c>
      <c r="H11" s="192">
        <f>'Interventions cost'!AB11+'Interventions cost'!AC11+'Interventions cost'!AD11+'Interventions cost'!AE11</f>
        <v>1124806557.5950387</v>
      </c>
      <c r="I11" s="240">
        <f>'Interventions cost'!L11+'Interventions cost'!M11+'Interventions cost'!N11+'Interventions cost'!O11</f>
        <v>63498183.140465006</v>
      </c>
      <c r="J11" s="192">
        <f>'Interventions cost'!AF11+'Interventions cost'!AG11+'Interventions cost'!AH11+'Interventions cost'!AI11</f>
        <v>808796628.88995433</v>
      </c>
      <c r="K11" s="240">
        <f>'Interventions cost'!P11+'Interventions cost'!Q11+'Interventions cost'!R11+'Interventions cost'!S11</f>
        <v>211786489.29197603</v>
      </c>
      <c r="L11" s="192">
        <f>'Interventions cost'!AJ11+'Interventions cost'!AK11+'Interventions cost'!AL11+'Interventions cost'!AM11</f>
        <v>2697592121.7284479</v>
      </c>
      <c r="M11" s="240">
        <f>'Interventions cost'!T11+'Interventions cost'!U11+'Interventions cost'!V11+'Interventions cost'!W11</f>
        <v>8650449.4916420598</v>
      </c>
      <c r="N11" s="192">
        <f>'Interventions cost'!AN11+'Interventions cost'!AO11+'Interventions cost'!AP11+'Interventions cost'!AQ11</f>
        <v>110183536.61782706</v>
      </c>
      <c r="O11" s="240">
        <f>'Interventions cost'!AR11+'Interventions cost'!AS11+'Interventions cost'!AT11+'Interventions cost'!AU11</f>
        <v>115871744.92468467</v>
      </c>
      <c r="P11" s="192">
        <f>'Interventions cost'!BL11+'Interventions cost'!BM11+'Interventions cost'!BN11+'Interventions cost'!BO11</f>
        <v>747464654.56234813</v>
      </c>
      <c r="Q11" s="240">
        <f>'Interventions cost'!AV11+'Interventions cost'!AW11+'Interventions cost'!AX11+'Interventions cost'!AY11</f>
        <v>79241869.715576276</v>
      </c>
      <c r="R11" s="192">
        <f>'Interventions cost'!BP11+'Interventions cost'!BQ11+'Interventions cost'!BR11+'Interventions cost'!BS11</f>
        <v>511172907.70348704</v>
      </c>
      <c r="S11" s="240">
        <f>'Interventions cost'!AZ11+'Interventions cost'!BA11+'Interventions cost'!BB11+'Interventions cost'!BC11</f>
        <v>23637330.741806686</v>
      </c>
      <c r="T11" s="192">
        <f>'Interventions cost'!BT11+'Interventions cost'!BU11+'Interventions cost'!BV11+'Interventions cost'!BW11</f>
        <v>152479530.44277149</v>
      </c>
      <c r="U11" s="240">
        <f>'Interventions cost'!BD11+'Interventions cost'!BE11+'Interventions cost'!BF11+'Interventions cost'!BG11</f>
        <v>37898840.590063088</v>
      </c>
      <c r="V11" s="192">
        <f>'Interventions cost'!BX11+'Interventions cost'!BY11+'Interventions cost'!BZ11+'Interventions cost'!CA11</f>
        <v>244477580.00345916</v>
      </c>
      <c r="W11" s="240">
        <f>'Interventions cost'!BH11+'Interventions cost'!BI11+'Interventions cost'!BJ11+'Interventions cost'!BK11</f>
        <v>1977776.0410888684</v>
      </c>
      <c r="X11" s="240">
        <f>'Interventions cost'!CB11+'Interventions cost'!CC11+'Interventions cost'!CD11+'Interventions cost'!CE11</f>
        <v>12758224.071925987</v>
      </c>
      <c r="Y11" s="242">
        <f>'Interventions cost'!CF11+'Interventions cost'!CG11+'Interventions cost'!CH11+'Interventions cost'!CI11</f>
        <v>109157806.9242599</v>
      </c>
      <c r="Z11" s="192">
        <f>'Interventions cost'!CJ11+'Interventions cost'!CK11+'Interventions cost'!CL11+'Interventions cost'!CM11</f>
        <v>704154429.52429056</v>
      </c>
      <c r="AA11" s="196">
        <f>'Food volume'!Y12+'Food volume'!Z12+'Food volume'!AA12+'Food volume'!AB12</f>
        <v>108896455.431225</v>
      </c>
      <c r="AB11" s="178">
        <f>'Food volume'!AC12+'Food volume'!AD12+'Food volume'!AE12+'Food volume'!AF12</f>
        <v>25230843.043516085</v>
      </c>
      <c r="AC11" s="178">
        <f>'Food volume'!AG12+'Food volume'!AH12+'Food volume'!AI12+'Food volume'!AJ12</f>
        <v>18142338.040132862</v>
      </c>
      <c r="AD11" s="178">
        <f>'Food volume'!AK12+'Food volume'!AL12+'Food volume'!AM12+'Food volume'!AN12</f>
        <v>60510425.511993155</v>
      </c>
      <c r="AE11" s="178">
        <f>'Food volume'!AO12+'Food volume'!AP12+'Food volume'!AQ12+'Food volume'!AR12</f>
        <v>2471556.9976120172</v>
      </c>
      <c r="AF11" s="118">
        <f>SUM('Food volume'!AS12:AV12)</f>
        <v>33106212.835624188</v>
      </c>
      <c r="AG11" s="196">
        <f>'Food volume'!AW12+'Food volume'!AX12+'Food volume'!AY12+'Food volume'!AZ12</f>
        <v>22640534.204450365</v>
      </c>
      <c r="AH11" s="250">
        <f>'Food volume'!BA12+'Food volume'!BB12+'Food volume'!BC12+'Food volume'!BD12</f>
        <v>6753523.0690876255</v>
      </c>
      <c r="AI11" s="250">
        <f>'Food volume'!BE12+'Food volume'!BF12+'Food volume'!BG12+'Food volume'!BH12</f>
        <v>10828240.168589454</v>
      </c>
      <c r="AJ11" s="247">
        <f>'Food volume'!BI12+'Food volume'!BJ12+'Food volume'!BK12+'Food volume'!BL12</f>
        <v>565078.86888253386</v>
      </c>
      <c r="AK11" s="250">
        <f>'Food volume'!BM12+'Food volume'!BN12+'Food volume'!BO12+'Food volume'!BP12</f>
        <v>31187944.835502833</v>
      </c>
      <c r="AL11" s="220"/>
    </row>
    <row r="12" spans="1:38">
      <c r="A12" s="9">
        <v>11</v>
      </c>
      <c r="B12" s="1" t="s">
        <v>363</v>
      </c>
      <c r="C12" s="1" t="s">
        <v>364</v>
      </c>
      <c r="D12" s="1">
        <v>1</v>
      </c>
      <c r="E12" s="191">
        <f>'Interventions cost'!D12+'Interventions cost'!E12+'Interventions cost'!F12+'Interventions cost'!G12</f>
        <v>55987097.606987566</v>
      </c>
      <c r="F12" s="192">
        <f>'Interventions cost'!X12+'Interventions cost'!Y12+'Interventions cost'!Z12+'Interventions cost'!AA12</f>
        <v>548840925.44259453</v>
      </c>
      <c r="G12" s="240">
        <f>'Interventions cost'!H12+'Interventions cost'!I12+'Interventions cost'!J12+'Interventions cost'!K12</f>
        <v>13883522.202116001</v>
      </c>
      <c r="H12" s="192">
        <f>'Interventions cost'!AB12+'Interventions cost'!AC12+'Interventions cost'!AD12+'Interventions cost'!AE12</f>
        <v>136100021.24598694</v>
      </c>
      <c r="I12" s="240">
        <f>'Interventions cost'!L12+'Interventions cost'!M12+'Interventions cost'!N12+'Interventions cost'!O12</f>
        <v>13707690.337097101</v>
      </c>
      <c r="J12" s="192">
        <f>'Interventions cost'!AF12+'Interventions cost'!AG12+'Interventions cost'!AH12+'Interventions cost'!AI12</f>
        <v>134376343.33368123</v>
      </c>
      <c r="K12" s="240">
        <f>'Interventions cost'!P12+'Interventions cost'!Q12+'Interventions cost'!R12+'Interventions cost'!S12</f>
        <v>29076729.173091009</v>
      </c>
      <c r="L12" s="192">
        <f>'Interventions cost'!AJ12+'Interventions cost'!AK12+'Interventions cost'!AL12+'Interventions cost'!AM12</f>
        <v>285038868.42334235</v>
      </c>
      <c r="M12" s="240">
        <f>'Interventions cost'!T12+'Interventions cost'!U12+'Interventions cost'!V12+'Interventions cost'!W12</f>
        <v>2277797.6503726197</v>
      </c>
      <c r="N12" s="192">
        <f>'Interventions cost'!AN12+'Interventions cost'!AO12+'Interventions cost'!AP12+'Interventions cost'!AQ12</f>
        <v>22329226.265257388</v>
      </c>
      <c r="O12" s="240">
        <f>'Interventions cost'!AR12+'Interventions cost'!AS12+'Interventions cost'!AT12+'Interventions cost'!AU12</f>
        <v>12334258.684052369</v>
      </c>
      <c r="P12" s="192">
        <f>'Interventions cost'!BL12+'Interventions cost'!BM12+'Interventions cost'!BN12+'Interventions cost'!BO12</f>
        <v>62757877.933601618</v>
      </c>
      <c r="Q12" s="240">
        <f>'Interventions cost'!AV12+'Interventions cost'!AW12+'Interventions cost'!AX12+'Interventions cost'!AY12</f>
        <v>8482333.7816063538</v>
      </c>
      <c r="R12" s="192">
        <f>'Interventions cost'!BP12+'Interventions cost'!BQ12+'Interventions cost'!BR12+'Interventions cost'!BS12</f>
        <v>43158918.723376498</v>
      </c>
      <c r="S12" s="240">
        <f>'Interventions cost'!AZ12+'Interventions cost'!BA12+'Interventions cost'!BB12+'Interventions cost'!BC12</f>
        <v>3741775.4707539207</v>
      </c>
      <c r="T12" s="192">
        <f>'Interventions cost'!BT12+'Interventions cost'!BU12+'Interventions cost'!BV12+'Interventions cost'!BW12</f>
        <v>19038508.455488972</v>
      </c>
      <c r="U12" s="240">
        <f>'Interventions cost'!BD12+'Interventions cost'!BE12+'Interventions cost'!BF12+'Interventions cost'!BG12</f>
        <v>4540878.6653154735</v>
      </c>
      <c r="V12" s="192">
        <f>'Interventions cost'!BX12+'Interventions cost'!BY12+'Interventions cost'!BZ12+'Interventions cost'!CA12</f>
        <v>23104421.29429514</v>
      </c>
      <c r="W12" s="240">
        <f>'Interventions cost'!BH12+'Interventions cost'!BI12+'Interventions cost'!BJ12+'Interventions cost'!BK12</f>
        <v>433633.0047294969</v>
      </c>
      <c r="X12" s="240">
        <f>'Interventions cost'!CB12+'Interventions cost'!CC12+'Interventions cost'!CD12+'Interventions cost'!CE12</f>
        <v>2206365.8526945743</v>
      </c>
      <c r="Y12" s="242">
        <f>'Interventions cost'!CF12+'Interventions cost'!CG12+'Interventions cost'!CH12+'Interventions cost'!CI12</f>
        <v>14118580.477516238</v>
      </c>
      <c r="Z12" s="192">
        <f>'Interventions cost'!CJ12+'Interventions cost'!CK12+'Interventions cost'!CL12+'Interventions cost'!CM12</f>
        <v>71836676.439202607</v>
      </c>
      <c r="AA12" s="196">
        <f>'Food volume'!Y13+'Food volume'!Z13+'Food volume'!AA13+'Food volume'!AB13</f>
        <v>15996313.601996448</v>
      </c>
      <c r="AB12" s="178">
        <f>'Food volume'!AC13+'Food volume'!AD13+'Food volume'!AE13+'Food volume'!AF13</f>
        <v>3966720.6291760001</v>
      </c>
      <c r="AC12" s="178">
        <f>'Food volume'!AG13+'Food volume'!AH13+'Food volume'!AI13+'Food volume'!AJ13</f>
        <v>3916482.9534563143</v>
      </c>
      <c r="AD12" s="178">
        <f>'Food volume'!AK13+'Food volume'!AL13+'Food volume'!AM13+'Food volume'!AN13</f>
        <v>8307636.9065974317</v>
      </c>
      <c r="AE12" s="178">
        <f>'Food volume'!AO13+'Food volume'!AP13+'Food volume'!AQ13+'Food volume'!AR13</f>
        <v>650799.32867789129</v>
      </c>
      <c r="AF12" s="118">
        <f>SUM('Food volume'!AS13:AV13)</f>
        <v>3524073.9097292479</v>
      </c>
      <c r="AG12" s="196">
        <f>'Food volume'!AW13+'Food volume'!AX13+'Food volume'!AY13+'Food volume'!AZ13</f>
        <v>2423523.9376018154</v>
      </c>
      <c r="AH12" s="250">
        <f>'Food volume'!BA13+'Food volume'!BB13+'Food volume'!BC13+'Food volume'!BD13</f>
        <v>1069078.7059296917</v>
      </c>
      <c r="AI12" s="250">
        <f>'Food volume'!BE13+'Food volume'!BF13+'Food volume'!BG13+'Food volume'!BH13</f>
        <v>1297393.9043758495</v>
      </c>
      <c r="AJ12" s="247">
        <f>'Food volume'!BI13+'Food volume'!BJ13+'Food volume'!BK13+'Food volume'!BL13</f>
        <v>123895.14420842769</v>
      </c>
      <c r="AK12" s="250">
        <f>'Food volume'!BM13+'Food volume'!BN13+'Food volume'!BO13+'Food volume'!BP13</f>
        <v>4033880.1364332102</v>
      </c>
      <c r="AL12" s="220"/>
    </row>
    <row r="13" spans="1:38">
      <c r="A13" s="9">
        <v>12</v>
      </c>
      <c r="B13" s="1" t="s">
        <v>368</v>
      </c>
      <c r="C13" s="1" t="s">
        <v>278</v>
      </c>
      <c r="D13" s="1">
        <v>0</v>
      </c>
      <c r="E13" s="191">
        <f>'Interventions cost'!D13+'Interventions cost'!E13+'Interventions cost'!F13+'Interventions cost'!G13</f>
        <v>118361892.17296955</v>
      </c>
      <c r="F13" s="192">
        <f>'Interventions cost'!X13+'Interventions cost'!Y13+'Interventions cost'!Z13+'Interventions cost'!AA13</f>
        <v>951912679.70345652</v>
      </c>
      <c r="G13" s="240">
        <f>'Interventions cost'!H13+'Interventions cost'!I13+'Interventions cost'!J13+'Interventions cost'!K13</f>
        <v>26479938.914078258</v>
      </c>
      <c r="H13" s="192">
        <f>'Interventions cost'!AB13+'Interventions cost'!AC13+'Interventions cost'!AD13+'Interventions cost'!AE13</f>
        <v>212962036.5754894</v>
      </c>
      <c r="I13" s="240">
        <f>'Interventions cost'!L13+'Interventions cost'!M13+'Interventions cost'!N13+'Interventions cost'!O13</f>
        <v>23521535.036449887</v>
      </c>
      <c r="J13" s="192">
        <f>'Interventions cost'!AF13+'Interventions cost'!AG13+'Interventions cost'!AH13+'Interventions cost'!AI13</f>
        <v>189169394.27231532</v>
      </c>
      <c r="K13" s="240">
        <f>'Interventions cost'!P13+'Interventions cost'!Q13+'Interventions cost'!R13+'Interventions cost'!S13</f>
        <v>69232686.123541251</v>
      </c>
      <c r="L13" s="192">
        <f>'Interventions cost'!AJ13+'Interventions cost'!AK13+'Interventions cost'!AL13+'Interventions cost'!AM13</f>
        <v>556796368.83989346</v>
      </c>
      <c r="M13" s="240">
        <f>'Interventions cost'!T13+'Interventions cost'!U13+'Interventions cost'!V13+'Interventions cost'!W13</f>
        <v>2120400.2256875052</v>
      </c>
      <c r="N13" s="192">
        <f>'Interventions cost'!AN13+'Interventions cost'!AO13+'Interventions cost'!AP13+'Interventions cost'!AQ13</f>
        <v>17053088.826328848</v>
      </c>
      <c r="O13" s="240">
        <f>'Interventions cost'!AR13+'Interventions cost'!AS13+'Interventions cost'!AT13+'Interventions cost'!AU13</f>
        <v>29853367.075901277</v>
      </c>
      <c r="P13" s="192">
        <f>'Interventions cost'!BL13+'Interventions cost'!BM13+'Interventions cost'!BN13+'Interventions cost'!BO13</f>
        <v>127488083.73373032</v>
      </c>
      <c r="Q13" s="240">
        <f>'Interventions cost'!AV13+'Interventions cost'!AW13+'Interventions cost'!AX13+'Interventions cost'!AY13</f>
        <v>20898669.900438957</v>
      </c>
      <c r="R13" s="192">
        <f>'Interventions cost'!BP13+'Interventions cost'!BQ13+'Interventions cost'!BR13+'Interventions cost'!BS13</f>
        <v>89247265.523408785</v>
      </c>
      <c r="S13" s="240">
        <f>'Interventions cost'!AZ13+'Interventions cost'!BA13+'Interventions cost'!BB13+'Interventions cost'!BC13</f>
        <v>11082274.811586561</v>
      </c>
      <c r="T13" s="192">
        <f>'Interventions cost'!BT13+'Interventions cost'!BU13+'Interventions cost'!BV13+'Interventions cost'!BW13</f>
        <v>47326587.166787907</v>
      </c>
      <c r="U13" s="240">
        <f>'Interventions cost'!BD13+'Interventions cost'!BE13+'Interventions cost'!BF13+'Interventions cost'!BG13</f>
        <v>12287882.415568771</v>
      </c>
      <c r="V13" s="192">
        <f>'Interventions cost'!BX13+'Interventions cost'!BY13+'Interventions cost'!BZ13+'Interventions cost'!CA13</f>
        <v>52475105.348195285</v>
      </c>
      <c r="W13" s="240">
        <f>'Interventions cost'!BH13+'Interventions cost'!BI13+'Interventions cost'!BJ13+'Interventions cost'!BK13</f>
        <v>468374.18208340823</v>
      </c>
      <c r="X13" s="240">
        <f>'Interventions cost'!CB13+'Interventions cost'!CC13+'Interventions cost'!CD13+'Interventions cost'!CE13</f>
        <v>2000180.6426843156</v>
      </c>
      <c r="Y13" s="242">
        <f>'Interventions cost'!CF13+'Interventions cost'!CG13+'Interventions cost'!CH13+'Interventions cost'!CI13</f>
        <v>28752627.060322542</v>
      </c>
      <c r="Z13" s="192">
        <f>'Interventions cost'!CJ13+'Interventions cost'!CK13+'Interventions cost'!CL13+'Interventions cost'!CM13</f>
        <v>122787400.05813751</v>
      </c>
      <c r="AA13" s="196">
        <f>'Food volume'!Y14+'Food volume'!Z14+'Food volume'!AA14+'Food volume'!AB14</f>
        <v>33817683.477991298</v>
      </c>
      <c r="AB13" s="178">
        <f>'Food volume'!AC14+'Food volume'!AD14+'Food volume'!AE14+'Food volume'!AF14</f>
        <v>7565696.8325937884</v>
      </c>
      <c r="AC13" s="178">
        <f>'Food volume'!AG14+'Food volume'!AH14+'Food volume'!AI14+'Food volume'!AJ14</f>
        <v>6720438.5818428248</v>
      </c>
      <c r="AD13" s="178">
        <f>'Food volume'!AK14+'Food volume'!AL14+'Food volume'!AM14+'Food volume'!AN14</f>
        <v>19780767.463868927</v>
      </c>
      <c r="AE13" s="178">
        <f>'Food volume'!AO14+'Food volume'!AP14+'Food volume'!AQ14+'Food volume'!AR14</f>
        <v>605828.63591071567</v>
      </c>
      <c r="AF13" s="118">
        <f>SUM('Food volume'!AS14:AV14)</f>
        <v>8529533.4502575081</v>
      </c>
      <c r="AG13" s="196">
        <f>'Food volume'!AW14+'Food volume'!AX14+'Food volume'!AY14+'Food volume'!AZ14</f>
        <v>5971048.5429825587</v>
      </c>
      <c r="AH13" s="250">
        <f>'Food volume'!BA14+'Food volume'!BB14+'Food volume'!BC14+'Food volume'!BD14</f>
        <v>3166364.2318818746</v>
      </c>
      <c r="AI13" s="250">
        <f>'Food volume'!BE14+'Food volume'!BF14+'Food volume'!BG14+'Food volume'!BH14</f>
        <v>3510823.5473053632</v>
      </c>
      <c r="AJ13" s="247">
        <f>'Food volume'!BI14+'Food volume'!BJ14+'Food volume'!BK14+'Food volume'!BL14</f>
        <v>133821.19488097378</v>
      </c>
      <c r="AK13" s="250">
        <f>'Food volume'!BM14+'Food volume'!BN14+'Food volume'!BO14+'Food volume'!BP14</f>
        <v>8215036.3029492972</v>
      </c>
      <c r="AL13" s="220"/>
    </row>
    <row r="14" spans="1:38">
      <c r="A14" s="9">
        <v>13</v>
      </c>
      <c r="B14" s="1" t="s">
        <v>372</v>
      </c>
      <c r="C14" s="1" t="s">
        <v>373</v>
      </c>
      <c r="D14" s="1">
        <v>0</v>
      </c>
      <c r="E14" s="191">
        <f>'Interventions cost'!D14+'Interventions cost'!E14+'Interventions cost'!F14+'Interventions cost'!G14</f>
        <v>433382516.1236884</v>
      </c>
      <c r="F14" s="192">
        <f>'Interventions cost'!X14+'Interventions cost'!Y14+'Interventions cost'!Z14+'Interventions cost'!AA14</f>
        <v>5520131454.5535908</v>
      </c>
      <c r="G14" s="240">
        <f>'Interventions cost'!H14+'Interventions cost'!I14+'Interventions cost'!J14+'Interventions cost'!K14</f>
        <v>105887651.18089715</v>
      </c>
      <c r="H14" s="192">
        <f>'Interventions cost'!AB14+'Interventions cost'!AC14+'Interventions cost'!AD14+'Interventions cost'!AE14</f>
        <v>1348724815.1137857</v>
      </c>
      <c r="I14" s="240">
        <f>'Interventions cost'!L14+'Interventions cost'!M14+'Interventions cost'!N14+'Interventions cost'!O14</f>
        <v>99755131.95638302</v>
      </c>
      <c r="J14" s="192">
        <f>'Interventions cost'!AF14+'Interventions cost'!AG14+'Interventions cost'!AH14+'Interventions cost'!AI14</f>
        <v>1270612960.0955424</v>
      </c>
      <c r="K14" s="240">
        <f>'Interventions cost'!P14+'Interventions cost'!Q14+'Interventions cost'!R14+'Interventions cost'!S14</f>
        <v>284012430.17731947</v>
      </c>
      <c r="L14" s="192">
        <f>'Interventions cost'!AJ14+'Interventions cost'!AK14+'Interventions cost'!AL14+'Interventions cost'!AM14</f>
        <v>3617556987.1364555</v>
      </c>
      <c r="M14" s="240">
        <f>'Interventions cost'!T14+'Interventions cost'!U14+'Interventions cost'!V14+'Interventions cost'!W14</f>
        <v>3304901.0057110721</v>
      </c>
      <c r="N14" s="192">
        <f>'Interventions cost'!AN14+'Interventions cost'!AO14+'Interventions cost'!AP14+'Interventions cost'!AQ14</f>
        <v>42095579.117928132</v>
      </c>
      <c r="O14" s="240">
        <f>'Interventions cost'!AR14+'Interventions cost'!AS14+'Interventions cost'!AT14+'Interventions cost'!AU14</f>
        <v>96205035.450781792</v>
      </c>
      <c r="P14" s="192">
        <f>'Interventions cost'!BL14+'Interventions cost'!BM14+'Interventions cost'!BN14+'Interventions cost'!BO14</f>
        <v>620598780.46298242</v>
      </c>
      <c r="Q14" s="240">
        <f>'Interventions cost'!AV14+'Interventions cost'!AW14+'Interventions cost'!AX14+'Interventions cost'!AY14</f>
        <v>66737022.476918556</v>
      </c>
      <c r="R14" s="192">
        <f>'Interventions cost'!BP14+'Interventions cost'!BQ14+'Interventions cost'!BR14+'Interventions cost'!BS14</f>
        <v>430506725.21289259</v>
      </c>
      <c r="S14" s="240">
        <f>'Interventions cost'!AZ14+'Interventions cost'!BA14+'Interventions cost'!BB14+'Interventions cost'!BC14</f>
        <v>22106094.513378832</v>
      </c>
      <c r="T14" s="192">
        <f>'Interventions cost'!BT14+'Interventions cost'!BU14+'Interventions cost'!BV14+'Interventions cost'!BW14</f>
        <v>142601842.32062301</v>
      </c>
      <c r="U14" s="240">
        <f>'Interventions cost'!BD14+'Interventions cost'!BE14+'Interventions cost'!BF14+'Interventions cost'!BG14</f>
        <v>30278334.479826193</v>
      </c>
      <c r="V14" s="192">
        <f>'Interventions cost'!BX14+'Interventions cost'!BY14+'Interventions cost'!BZ14+'Interventions cost'!CA14</f>
        <v>195319271.64294505</v>
      </c>
      <c r="W14" s="240">
        <f>'Interventions cost'!BH14+'Interventions cost'!BI14+'Interventions cost'!BJ14+'Interventions cost'!BK14</f>
        <v>473696.020834986</v>
      </c>
      <c r="X14" s="240">
        <f>'Interventions cost'!CB14+'Interventions cost'!CC14+'Interventions cost'!CD14+'Interventions cost'!CE14</f>
        <v>3055715.0305376342</v>
      </c>
      <c r="Y14" s="242">
        <f>'Interventions cost'!CF14+'Interventions cost'!CG14+'Interventions cost'!CH14+'Interventions cost'!CI14</f>
        <v>120210265.91439745</v>
      </c>
      <c r="Z14" s="192">
        <f>'Interventions cost'!CJ14+'Interventions cost'!CK14+'Interventions cost'!CL14+'Interventions cost'!CM14</f>
        <v>775451555.89877844</v>
      </c>
      <c r="AA14" s="196">
        <f>'Food volume'!Y15+'Food volume'!Z15+'Food volume'!AA15+'Food volume'!AB15</f>
        <v>123823576.03533953</v>
      </c>
      <c r="AB14" s="178">
        <f>'Food volume'!AC15+'Food volume'!AD15+'Food volume'!AE15+'Food volume'!AF15</f>
        <v>30253614.623113472</v>
      </c>
      <c r="AC14" s="178">
        <f>'Food volume'!AG15+'Food volume'!AH15+'Food volume'!AI15+'Food volume'!AJ15</f>
        <v>28501466.273252293</v>
      </c>
      <c r="AD14" s="178">
        <f>'Food volume'!AK15+'Food volume'!AL15+'Food volume'!AM15+'Food volume'!AN15</f>
        <v>81146408.622091264</v>
      </c>
      <c r="AE14" s="178">
        <f>'Food volume'!AO15+'Food volume'!AP15+'Food volume'!AQ15+'Food volume'!AR15</f>
        <v>944257.43020316353</v>
      </c>
      <c r="AF14" s="118">
        <f>SUM('Food volume'!AS15:AV15)</f>
        <v>27487152.985937655</v>
      </c>
      <c r="AG14" s="196">
        <f>'Food volume'!AW15+'Food volume'!AX15+'Food volume'!AY15+'Food volume'!AZ15</f>
        <v>19067720.707691014</v>
      </c>
      <c r="AH14" s="250">
        <f>'Food volume'!BA15+'Food volume'!BB15+'Food volume'!BC15+'Food volume'!BD15</f>
        <v>6316027.0038225241</v>
      </c>
      <c r="AI14" s="250">
        <f>'Food volume'!BE15+'Food volume'!BF15+'Food volume'!BG15+'Food volume'!BH15</f>
        <v>8650952.7085217685</v>
      </c>
      <c r="AJ14" s="247">
        <f>'Food volume'!BI15+'Food volume'!BJ15+'Food volume'!BK15+'Food volume'!BL15</f>
        <v>135341.72023856742</v>
      </c>
      <c r="AK14" s="250">
        <f>'Food volume'!BM15+'Food volume'!BN15+'Food volume'!BO15+'Food volume'!BP15</f>
        <v>34345790.261256412</v>
      </c>
      <c r="AL14" s="220"/>
    </row>
    <row r="15" spans="1:38">
      <c r="A15" s="9">
        <v>14</v>
      </c>
      <c r="B15" s="1" t="s">
        <v>378</v>
      </c>
      <c r="C15" s="1" t="s">
        <v>379</v>
      </c>
      <c r="D15" s="1">
        <v>1</v>
      </c>
      <c r="E15" s="191">
        <f>'Interventions cost'!D15+'Interventions cost'!E15+'Interventions cost'!F15+'Interventions cost'!G15</f>
        <v>364330098.11477327</v>
      </c>
      <c r="F15" s="192">
        <f>'Interventions cost'!X15+'Interventions cost'!Y15+'Interventions cost'!Z15+'Interventions cost'!AA15</f>
        <v>3571524096.8473978</v>
      </c>
      <c r="G15" s="240">
        <f>'Interventions cost'!H15+'Interventions cost'!I15+'Interventions cost'!J15+'Interventions cost'!K15</f>
        <v>66077541.336299419</v>
      </c>
      <c r="H15" s="192">
        <f>'Interventions cost'!AB15+'Interventions cost'!AC15+'Interventions cost'!AD15+'Interventions cost'!AE15</f>
        <v>647757438.55419326</v>
      </c>
      <c r="I15" s="240">
        <f>'Interventions cost'!L15+'Interventions cost'!M15+'Interventions cost'!N15+'Interventions cost'!O15</f>
        <v>55450658.864051752</v>
      </c>
      <c r="J15" s="192">
        <f>'Interventions cost'!AF15+'Interventions cost'!AG15+'Interventions cost'!AH15+'Interventions cost'!AI15</f>
        <v>543582222.12164569</v>
      </c>
      <c r="K15" s="240">
        <f>'Interventions cost'!P15+'Interventions cost'!Q15+'Interventions cost'!R15+'Interventions cost'!S15</f>
        <v>194340130.54889378</v>
      </c>
      <c r="L15" s="192">
        <f>'Interventions cost'!AJ15+'Interventions cost'!AK15+'Interventions cost'!AL15+'Interventions cost'!AM15</f>
        <v>1905114243.4605751</v>
      </c>
      <c r="M15" s="240">
        <f>'Interventions cost'!T15+'Interventions cost'!U15+'Interventions cost'!V15+'Interventions cost'!W15</f>
        <v>2825429.3153949184</v>
      </c>
      <c r="N15" s="192">
        <f>'Interventions cost'!AN15+'Interventions cost'!AO15+'Interventions cost'!AP15+'Interventions cost'!AQ15</f>
        <v>27697653.682987917</v>
      </c>
      <c r="O15" s="240">
        <f>'Interventions cost'!AR15+'Interventions cost'!AS15+'Interventions cost'!AT15+'Interventions cost'!AU15</f>
        <v>100961266.79320551</v>
      </c>
      <c r="P15" s="192">
        <f>'Interventions cost'!BL15+'Interventions cost'!BM15+'Interventions cost'!BN15+'Interventions cost'!BO15</f>
        <v>513700500.34884417</v>
      </c>
      <c r="Q15" s="240">
        <f>'Interventions cost'!AV15+'Interventions cost'!AW15+'Interventions cost'!AX15+'Interventions cost'!AY15</f>
        <v>73574317.734651133</v>
      </c>
      <c r="R15" s="192">
        <f>'Interventions cost'!BP15+'Interventions cost'!BQ15+'Interventions cost'!BR15+'Interventions cost'!BS15</f>
        <v>374353106.2316134</v>
      </c>
      <c r="S15" s="240">
        <f>'Interventions cost'!AZ15+'Interventions cost'!BA15+'Interventions cost'!BB15+'Interventions cost'!BC15</f>
        <v>19086045.35409398</v>
      </c>
      <c r="T15" s="192">
        <f>'Interventions cost'!BT15+'Interventions cost'!BU15+'Interventions cost'!BV15+'Interventions cost'!BW15</f>
        <v>97111608.832731426</v>
      </c>
      <c r="U15" s="240">
        <f>'Interventions cost'!BD15+'Interventions cost'!BE15+'Interventions cost'!BF15+'Interventions cost'!BG15</f>
        <v>22718562.682818405</v>
      </c>
      <c r="V15" s="192">
        <f>'Interventions cost'!BX15+'Interventions cost'!BY15+'Interventions cost'!BZ15+'Interventions cost'!CA15</f>
        <v>115594201.49981514</v>
      </c>
      <c r="W15" s="240">
        <f>'Interventions cost'!BH15+'Interventions cost'!BI15+'Interventions cost'!BJ15+'Interventions cost'!BK15</f>
        <v>774521.15796413296</v>
      </c>
      <c r="X15" s="240">
        <f>'Interventions cost'!CB15+'Interventions cost'!CC15+'Interventions cost'!CD15+'Interventions cost'!CE15</f>
        <v>3940837.1053018249</v>
      </c>
      <c r="Y15" s="242">
        <f>'Interventions cost'!CF15+'Interventions cost'!CG15+'Interventions cost'!CH15+'Interventions cost'!CI15</f>
        <v>85909620.063620493</v>
      </c>
      <c r="Z15" s="192">
        <f>'Interventions cost'!CJ15+'Interventions cost'!CK15+'Interventions cost'!CL15+'Interventions cost'!CM15</f>
        <v>437116294.32952923</v>
      </c>
      <c r="AA15" s="196">
        <f>'Food volume'!Y16+'Food volume'!Z16+'Food volume'!AA16+'Food volume'!AB16</f>
        <v>104094313.74707806</v>
      </c>
      <c r="AB15" s="178">
        <f>'Food volume'!AC16+'Food volume'!AD16+'Food volume'!AE16+'Food volume'!AF16</f>
        <v>18879297.524656978</v>
      </c>
      <c r="AC15" s="178">
        <f>'Food volume'!AG16+'Food volume'!AH16+'Food volume'!AI16+'Food volume'!AJ16</f>
        <v>15843045.389729071</v>
      </c>
      <c r="AD15" s="178">
        <f>'Food volume'!AK16+'Food volume'!AL16+'Food volume'!AM16+'Food volume'!AN16</f>
        <v>55525751.58539822</v>
      </c>
      <c r="AE15" s="178">
        <f>'Food volume'!AO16+'Food volume'!AP16+'Food volume'!AQ16+'Food volume'!AR16</f>
        <v>807265.51868426241</v>
      </c>
      <c r="AF15" s="118">
        <f>SUM('Food volume'!AS16:AV16)</f>
        <v>28846076.226630144</v>
      </c>
      <c r="AG15" s="196">
        <f>'Food volume'!AW16+'Food volume'!AX16+'Food volume'!AY16+'Food volume'!AZ16</f>
        <v>21021233.638471752</v>
      </c>
      <c r="AH15" s="250">
        <f>'Food volume'!BA16+'Food volume'!BB16+'Food volume'!BC16+'Food volume'!BD16</f>
        <v>5453155.8154554237</v>
      </c>
      <c r="AI15" s="250">
        <f>'Food volume'!BE16+'Food volume'!BF16+'Food volume'!BG16+'Food volume'!BH16</f>
        <v>6491017.9093766874</v>
      </c>
      <c r="AJ15" s="247">
        <f>'Food volume'!BI16+'Food volume'!BJ16+'Food volume'!BK16+'Food volume'!BL16</f>
        <v>221291.75941832369</v>
      </c>
      <c r="AK15" s="250">
        <f>'Food volume'!BM16+'Food volume'!BN16+'Food volume'!BO16+'Food volume'!BP16</f>
        <v>24545605.732462998</v>
      </c>
      <c r="AL15" s="220"/>
    </row>
    <row r="16" spans="1:38">
      <c r="A16" s="9">
        <v>15</v>
      </c>
      <c r="B16" s="1" t="s">
        <v>383</v>
      </c>
      <c r="C16" s="1" t="s">
        <v>384</v>
      </c>
      <c r="D16" s="1">
        <v>0</v>
      </c>
      <c r="E16" s="191">
        <f>'Interventions cost'!D16+'Interventions cost'!E16+'Interventions cost'!F16+'Interventions cost'!G16</f>
        <v>154321090.06251174</v>
      </c>
      <c r="F16" s="192">
        <f>'Interventions cost'!X16+'Interventions cost'!Y16+'Interventions cost'!Z16+'Interventions cost'!AA16</f>
        <v>1512808013.0134852</v>
      </c>
      <c r="G16" s="240">
        <f>'Interventions cost'!H16+'Interventions cost'!I16+'Interventions cost'!J16+'Interventions cost'!K16</f>
        <v>41544011.647890344</v>
      </c>
      <c r="H16" s="192">
        <f>'Interventions cost'!AB16+'Interventions cost'!AC16+'Interventions cost'!AD16+'Interventions cost'!AE16</f>
        <v>407255506.60765696</v>
      </c>
      <c r="I16" s="240">
        <f>'Interventions cost'!L16+'Interventions cost'!M16+'Interventions cost'!N16+'Interventions cost'!O16</f>
        <v>29570691.888773739</v>
      </c>
      <c r="J16" s="192">
        <f>'Interventions cost'!AF16+'Interventions cost'!AG16+'Interventions cost'!AH16+'Interventions cost'!AI16</f>
        <v>289881179.69856751</v>
      </c>
      <c r="K16" s="240">
        <f>'Interventions cost'!P16+'Interventions cost'!Q16+'Interventions cost'!R16+'Interventions cost'!S16</f>
        <v>102551612.48849863</v>
      </c>
      <c r="L16" s="192">
        <f>'Interventions cost'!AJ16+'Interventions cost'!AK16+'Interventions cost'!AL16+'Interventions cost'!AM16</f>
        <v>1005312372.1275603</v>
      </c>
      <c r="M16" s="240">
        <f>'Interventions cost'!T16+'Interventions cost'!U16+'Interventions cost'!V16+'Interventions cost'!W16</f>
        <v>1468437.5214325227</v>
      </c>
      <c r="N16" s="192">
        <f>'Interventions cost'!AN16+'Interventions cost'!AO16+'Interventions cost'!AP16+'Interventions cost'!AQ16</f>
        <v>14395077.485085936</v>
      </c>
      <c r="O16" s="240">
        <f>'Interventions cost'!AR16+'Interventions cost'!AS16+'Interventions cost'!AT16+'Interventions cost'!AU16</f>
        <v>40167585.734581061</v>
      </c>
      <c r="P16" s="192">
        <f>'Interventions cost'!BL16+'Interventions cost'!BM16+'Interventions cost'!BN16+'Interventions cost'!BO16</f>
        <v>204376485.60733014</v>
      </c>
      <c r="Q16" s="240">
        <f>'Interventions cost'!AV16+'Interventions cost'!AW16+'Interventions cost'!AX16+'Interventions cost'!AY16</f>
        <v>30439095.992326483</v>
      </c>
      <c r="R16" s="192">
        <f>'Interventions cost'!BP16+'Interventions cost'!BQ16+'Interventions cost'!BR16+'Interventions cost'!BS16</f>
        <v>154877007.17397219</v>
      </c>
      <c r="S16" s="240">
        <f>'Interventions cost'!AZ16+'Interventions cost'!BA16+'Interventions cost'!BB16+'Interventions cost'!BC16</f>
        <v>8916016.3436657526</v>
      </c>
      <c r="T16" s="192">
        <f>'Interventions cost'!BT16+'Interventions cost'!BU16+'Interventions cost'!BV16+'Interventions cost'!BW16</f>
        <v>45365536.728465512</v>
      </c>
      <c r="U16" s="240">
        <f>'Interventions cost'!BD16+'Interventions cost'!BE16+'Interventions cost'!BF16+'Interventions cost'!BG16</f>
        <v>10609493.454003835</v>
      </c>
      <c r="V16" s="192">
        <f>'Interventions cost'!BX16+'Interventions cost'!BY16+'Interventions cost'!BZ16+'Interventions cost'!CA16</f>
        <v>53982108.87084806</v>
      </c>
      <c r="W16" s="240">
        <f>'Interventions cost'!BH16+'Interventions cost'!BI16+'Interventions cost'!BJ16+'Interventions cost'!BK16</f>
        <v>239335.32018582689</v>
      </c>
      <c r="X16" s="240">
        <f>'Interventions cost'!CB16+'Interventions cost'!CC16+'Interventions cost'!CD16+'Interventions cost'!CE16</f>
        <v>1217760.807047284</v>
      </c>
      <c r="Y16" s="242">
        <f>'Interventions cost'!CF16+'Interventions cost'!CG16+'Interventions cost'!CH16+'Interventions cost'!CI16</f>
        <v>32305625.471515533</v>
      </c>
      <c r="Z16" s="192">
        <f>'Interventions cost'!CJ16+'Interventions cost'!CK16+'Interventions cost'!CL16+'Interventions cost'!CM16</f>
        <v>164374086.18090683</v>
      </c>
      <c r="AA16" s="196">
        <f>'Food volume'!Y17+'Food volume'!Z17+'Food volume'!AA17+'Food volume'!AB17</f>
        <v>44091740.017860502</v>
      </c>
      <c r="AB16" s="178">
        <f>'Food volume'!AC17+'Food volume'!AD17+'Food volume'!AE17+'Food volume'!AF17</f>
        <v>11869717.613682956</v>
      </c>
      <c r="AC16" s="178">
        <f>'Food volume'!AG17+'Food volume'!AH17+'Food volume'!AI17+'Food volume'!AJ17</f>
        <v>8448769.111078212</v>
      </c>
      <c r="AD16" s="178">
        <f>'Food volume'!AK17+'Food volume'!AL17+'Food volume'!AM17+'Food volume'!AN17</f>
        <v>29300460.710999608</v>
      </c>
      <c r="AE16" s="178">
        <f>'Food volume'!AO17+'Food volume'!AP17+'Food volume'!AQ17+'Food volume'!AR17</f>
        <v>419553.57755214931</v>
      </c>
      <c r="AF16" s="118">
        <f>SUM('Food volume'!AS17:AV17)</f>
        <v>11476453.06702316</v>
      </c>
      <c r="AG16" s="196">
        <f>'Food volume'!AW17+'Food volume'!AX17+'Food volume'!AY17+'Food volume'!AZ17</f>
        <v>8696884.569236137</v>
      </c>
      <c r="AH16" s="250">
        <f>'Food volume'!BA17+'Food volume'!BB17+'Food volume'!BC17+'Food volume'!BD17</f>
        <v>2547433.2410473581</v>
      </c>
      <c r="AI16" s="250">
        <f>'Food volume'!BE17+'Food volume'!BF17+'Food volume'!BG17+'Food volume'!BH17</f>
        <v>3031283.8440010957</v>
      </c>
      <c r="AJ16" s="247">
        <f>'Food volume'!BI17+'Food volume'!BJ17+'Food volume'!BK17+'Food volume'!BL17</f>
        <v>68381.520053093409</v>
      </c>
      <c r="AK16" s="250">
        <f>'Food volume'!BM17+'Food volume'!BN17+'Food volume'!BO17+'Food volume'!BP17</f>
        <v>9230178.7061472945</v>
      </c>
      <c r="AL16" s="220"/>
    </row>
    <row r="17" spans="1:38">
      <c r="A17" s="9">
        <v>16</v>
      </c>
      <c r="B17" s="1" t="s">
        <v>388</v>
      </c>
      <c r="C17" s="1" t="s">
        <v>389</v>
      </c>
      <c r="D17" s="1">
        <v>0</v>
      </c>
      <c r="E17" s="191">
        <f>'Interventions cost'!D17+'Interventions cost'!E17+'Interventions cost'!F17+'Interventions cost'!G17</f>
        <v>76080407.162801787</v>
      </c>
      <c r="F17" s="192">
        <f>'Interventions cost'!X17+'Interventions cost'!Y17+'Interventions cost'!Z17+'Interventions cost'!AA17</f>
        <v>1415550445.6596203</v>
      </c>
      <c r="G17" s="240">
        <f>'Interventions cost'!H17+'Interventions cost'!I17+'Interventions cost'!J17+'Interventions cost'!K17</f>
        <v>14317311.127818022</v>
      </c>
      <c r="H17" s="192">
        <f>'Interventions cost'!AB17+'Interventions cost'!AC17+'Interventions cost'!AD17+'Interventions cost'!AE17</f>
        <v>266387587.86164051</v>
      </c>
      <c r="I17" s="240">
        <f>'Interventions cost'!L17+'Interventions cost'!M17+'Interventions cost'!N17+'Interventions cost'!O17</f>
        <v>16876703.595909808</v>
      </c>
      <c r="J17" s="192">
        <f>'Interventions cost'!AF17+'Interventions cost'!AG17+'Interventions cost'!AH17+'Interventions cost'!AI17</f>
        <v>314007589.96116376</v>
      </c>
      <c r="K17" s="240">
        <f>'Interventions cost'!P17+'Interventions cost'!Q17+'Interventions cost'!R17+'Interventions cost'!S17</f>
        <v>46176480.232818156</v>
      </c>
      <c r="L17" s="192">
        <f>'Interventions cost'!AJ17+'Interventions cost'!AK17+'Interventions cost'!AL17+'Interventions cost'!AM17</f>
        <v>859158614.02641869</v>
      </c>
      <c r="M17" s="240">
        <f>'Interventions cost'!T17+'Interventions cost'!U17+'Interventions cost'!V17+'Interventions cost'!W17</f>
        <v>1713306.4562492426</v>
      </c>
      <c r="N17" s="192">
        <f>'Interventions cost'!AN17+'Interventions cost'!AO17+'Interventions cost'!AP17+'Interventions cost'!AQ17</f>
        <v>31877743.668029621</v>
      </c>
      <c r="O17" s="240">
        <f>'Interventions cost'!AR17+'Interventions cost'!AS17+'Interventions cost'!AT17+'Interventions cost'!AU17</f>
        <v>21190392.505759507</v>
      </c>
      <c r="P17" s="192">
        <f>'Interventions cost'!BL17+'Interventions cost'!BM17+'Interventions cost'!BN17+'Interventions cost'!BO17</f>
        <v>194447060.91671732</v>
      </c>
      <c r="Q17" s="240">
        <f>'Interventions cost'!AV17+'Interventions cost'!AW17+'Interventions cost'!AX17+'Interventions cost'!AY17</f>
        <v>10197796.28148181</v>
      </c>
      <c r="R17" s="192">
        <f>'Interventions cost'!BP17+'Interventions cost'!BQ17+'Interventions cost'!BR17+'Interventions cost'!BS17</f>
        <v>93576912.944043398</v>
      </c>
      <c r="S17" s="240">
        <f>'Interventions cost'!AZ17+'Interventions cost'!BA17+'Interventions cost'!BB17+'Interventions cost'!BC17</f>
        <v>3849373.6758971345</v>
      </c>
      <c r="T17" s="192">
        <f>'Interventions cost'!BT17+'Interventions cost'!BU17+'Interventions cost'!BV17+'Interventions cost'!BW17</f>
        <v>35322582.979288265</v>
      </c>
      <c r="U17" s="240">
        <f>'Interventions cost'!BD17+'Interventions cost'!BE17+'Interventions cost'!BF17+'Interventions cost'!BG17</f>
        <v>6307431.243481338</v>
      </c>
      <c r="V17" s="192">
        <f>'Interventions cost'!BX17+'Interventions cost'!BY17+'Interventions cost'!BZ17+'Interventions cost'!CA17</f>
        <v>57878185.451065704</v>
      </c>
      <c r="W17" s="240">
        <f>'Interventions cost'!BH17+'Interventions cost'!BI17+'Interventions cost'!BJ17+'Interventions cost'!BK17</f>
        <v>246378.88494553656</v>
      </c>
      <c r="X17" s="240">
        <f>'Interventions cost'!CB17+'Interventions cost'!CC17+'Interventions cost'!CD17+'Interventions cost'!CE17</f>
        <v>2260819.3801307096</v>
      </c>
      <c r="Y17" s="242">
        <f>'Interventions cost'!CF17+'Interventions cost'!CG17+'Interventions cost'!CH17+'Interventions cost'!CI17</f>
        <v>16011373.31521742</v>
      </c>
      <c r="Z17" s="192">
        <f>'Interventions cost'!CJ17+'Interventions cost'!CK17+'Interventions cost'!CL17+'Interventions cost'!CM17</f>
        <v>146923398.49477434</v>
      </c>
      <c r="AA17" s="196">
        <f>'Food volume'!Y18+'Food volume'!Z18+'Food volume'!AA18+'Food volume'!AB18</f>
        <v>21737259.189371936</v>
      </c>
      <c r="AB17" s="178">
        <f>'Food volume'!AC18+'Food volume'!AD18+'Food volume'!AE18+'Food volume'!AF18</f>
        <v>4090660.3222337211</v>
      </c>
      <c r="AC17" s="178">
        <f>'Food volume'!AG18+'Food volume'!AH18+'Food volume'!AI18+'Food volume'!AJ18</f>
        <v>4821915.3131170878</v>
      </c>
      <c r="AD17" s="178">
        <f>'Food volume'!AK18+'Food volume'!AL18+'Food volume'!AM18+'Food volume'!AN18</f>
        <v>13193280.066519476</v>
      </c>
      <c r="AE17" s="178">
        <f>'Food volume'!AO18+'Food volume'!AP18+'Food volume'!AQ18+'Food volume'!AR18</f>
        <v>489516.13035692653</v>
      </c>
      <c r="AF17" s="118">
        <f>SUM('Food volume'!AS18:AV18)</f>
        <v>6054397.8587884298</v>
      </c>
      <c r="AG17" s="196">
        <f>'Food volume'!AW18+'Food volume'!AX18+'Food volume'!AY18+'Food volume'!AZ18</f>
        <v>2913656.0804233742</v>
      </c>
      <c r="AH17" s="250">
        <f>'Food volume'!BA18+'Food volume'!BB18+'Food volume'!BC18+'Food volume'!BD18</f>
        <v>1099821.050256324</v>
      </c>
      <c r="AI17" s="250">
        <f>'Food volume'!BE18+'Food volume'!BF18+'Food volume'!BG18+'Food volume'!BH18</f>
        <v>1802123.2124232389</v>
      </c>
      <c r="AJ17" s="247">
        <f>'Food volume'!BI18+'Food volume'!BJ18+'Food volume'!BK18+'Food volume'!BL18</f>
        <v>70393.967127296171</v>
      </c>
      <c r="AK17" s="250">
        <f>'Food volume'!BM18+'Food volume'!BN18+'Food volume'!BO18+'Food volume'!BP18</f>
        <v>4574678.0900621191</v>
      </c>
      <c r="AL17" s="220"/>
    </row>
    <row r="18" spans="1:38">
      <c r="A18" s="9">
        <v>17</v>
      </c>
      <c r="B18" s="1" t="s">
        <v>393</v>
      </c>
      <c r="C18" s="1" t="s">
        <v>394</v>
      </c>
      <c r="D18" s="1">
        <v>0</v>
      </c>
      <c r="E18" s="191">
        <f>'Interventions cost'!D18+'Interventions cost'!E18+'Interventions cost'!F18+'Interventions cost'!G18</f>
        <v>148492361.84714532</v>
      </c>
      <c r="F18" s="192">
        <f>'Interventions cost'!X18+'Interventions cost'!Y18+'Interventions cost'!Z18+'Interventions cost'!AA18</f>
        <v>2762845742.1367364</v>
      </c>
      <c r="G18" s="240">
        <f>'Interventions cost'!H18+'Interventions cost'!I18+'Interventions cost'!J18+'Interventions cost'!K18</f>
        <v>40048881.349302232</v>
      </c>
      <c r="H18" s="192">
        <f>'Interventions cost'!AB18+'Interventions cost'!AC18+'Interventions cost'!AD18+'Interventions cost'!AE18</f>
        <v>745148638.87179923</v>
      </c>
      <c r="I18" s="240">
        <f>'Interventions cost'!L18+'Interventions cost'!M18+'Interventions cost'!N18+'Interventions cost'!O18</f>
        <v>30677943.950650737</v>
      </c>
      <c r="J18" s="192">
        <f>'Interventions cost'!AF18+'Interventions cost'!AG18+'Interventions cost'!AH18+'Interventions cost'!AI18</f>
        <v>570793175.94000733</v>
      </c>
      <c r="K18" s="240">
        <f>'Interventions cost'!P18+'Interventions cost'!Q18+'Interventions cost'!R18+'Interventions cost'!S18</f>
        <v>62172492.023860618</v>
      </c>
      <c r="L18" s="192">
        <f>'Interventions cost'!AJ18+'Interventions cost'!AK18+'Interventions cost'!AL18+'Interventions cost'!AM18</f>
        <v>1156780070.9033961</v>
      </c>
      <c r="M18" s="240">
        <f>'Interventions cost'!T18+'Interventions cost'!U18+'Interventions cost'!V18+'Interventions cost'!W18</f>
        <v>1741634.4514281629</v>
      </c>
      <c r="N18" s="192">
        <f>'Interventions cost'!AN18+'Interventions cost'!AO18+'Interventions cost'!AP18+'Interventions cost'!AQ18</f>
        <v>32404813.746852364</v>
      </c>
      <c r="O18" s="240">
        <f>'Interventions cost'!AR18+'Interventions cost'!AS18+'Interventions cost'!AT18+'Interventions cost'!AU18</f>
        <v>52628430.763372704</v>
      </c>
      <c r="P18" s="192">
        <f>'Interventions cost'!BL18+'Interventions cost'!BM18+'Interventions cost'!BN18+'Interventions cost'!BO18</f>
        <v>482928462.97279978</v>
      </c>
      <c r="Q18" s="240">
        <f>'Interventions cost'!AV18+'Interventions cost'!AW18+'Interventions cost'!AX18+'Interventions cost'!AY18</f>
        <v>38851820.271588877</v>
      </c>
      <c r="R18" s="192">
        <f>'Interventions cost'!BP18+'Interventions cost'!BQ18+'Interventions cost'!BR18+'Interventions cost'!BS18</f>
        <v>356511672.02408659</v>
      </c>
      <c r="S18" s="240">
        <f>'Interventions cost'!AZ18+'Interventions cost'!BA18+'Interventions cost'!BB18+'Interventions cost'!BC18</f>
        <v>7988741.2362125441</v>
      </c>
      <c r="T18" s="192">
        <f>'Interventions cost'!BT18+'Interventions cost'!BU18+'Interventions cost'!BV18+'Interventions cost'!BW18</f>
        <v>73306204.846536204</v>
      </c>
      <c r="U18" s="240">
        <f>'Interventions cost'!BD18+'Interventions cost'!BE18+'Interventions cost'!BF18+'Interventions cost'!BG18</f>
        <v>7153785.076844275</v>
      </c>
      <c r="V18" s="192">
        <f>'Interventions cost'!BX18+'Interventions cost'!BY18+'Interventions cost'!BZ18+'Interventions cost'!CA18</f>
        <v>65644488.758014396</v>
      </c>
      <c r="W18" s="240">
        <f>'Interventions cost'!BH18+'Interventions cost'!BI18+'Interventions cost'!BJ18+'Interventions cost'!BK18</f>
        <v>420528.10875006218</v>
      </c>
      <c r="X18" s="240">
        <f>'Interventions cost'!CB18+'Interventions cost'!CC18+'Interventions cost'!CD18+'Interventions cost'!CE18</f>
        <v>3858845.6894835816</v>
      </c>
      <c r="Y18" s="242">
        <f>'Interventions cost'!CF18+'Interventions cost'!CG18+'Interventions cost'!CH18+'Interventions cost'!CI18</f>
        <v>33830178.355318375</v>
      </c>
      <c r="Z18" s="192">
        <f>'Interventions cost'!CJ18+'Interventions cost'!CK18+'Interventions cost'!CL18+'Interventions cost'!CM18</f>
        <v>310432133.32136571</v>
      </c>
      <c r="AA18" s="196">
        <f>'Food volume'!Y19+'Food volume'!Z19+'Food volume'!AA19+'Food volume'!AB19</f>
        <v>42426389.099184379</v>
      </c>
      <c r="AB18" s="178">
        <f>'Food volume'!AC19+'Food volume'!AD19+'Food volume'!AE19+'Food volume'!AF19</f>
        <v>11442537.528372068</v>
      </c>
      <c r="AC18" s="178">
        <f>'Food volume'!AG19+'Food volume'!AH19+'Food volume'!AI19+'Food volume'!AJ19</f>
        <v>8765126.8430430684</v>
      </c>
      <c r="AD18" s="178">
        <f>'Food volume'!AK19+'Food volume'!AL19+'Food volume'!AM19+'Food volume'!AN19</f>
        <v>17763569.14967446</v>
      </c>
      <c r="AE18" s="178">
        <f>'Food volume'!AO19+'Food volume'!AP19+'Food volume'!AQ19+'Food volume'!AR19</f>
        <v>497609.84326518944</v>
      </c>
      <c r="AF18" s="118">
        <f>SUM('Food volume'!AS19:AV19)</f>
        <v>15036694.503820773</v>
      </c>
      <c r="AG18" s="196">
        <f>'Food volume'!AW19+'Food volume'!AX19+'Food volume'!AY19+'Food volume'!AZ19</f>
        <v>11100520.077596821</v>
      </c>
      <c r="AH18" s="250">
        <f>'Food volume'!BA19+'Food volume'!BB19+'Food volume'!BC19+'Food volume'!BD19</f>
        <v>2282497.4960607267</v>
      </c>
      <c r="AI18" s="250">
        <f>'Food volume'!BE19+'Food volume'!BF19+'Food volume'!BG19+'Food volume'!BH19</f>
        <v>2043938.5933840787</v>
      </c>
      <c r="AJ18" s="247">
        <f>'Food volume'!BI19+'Food volume'!BJ19+'Food volume'!BK19+'Food volume'!BL19</f>
        <v>120150.88821430347</v>
      </c>
      <c r="AK18" s="250">
        <f>'Food volume'!BM19+'Food volume'!BN19+'Food volume'!BO19+'Food volume'!BP19</f>
        <v>9665765.244376678</v>
      </c>
      <c r="AL18" s="220"/>
    </row>
    <row r="19" spans="1:38">
      <c r="A19" s="9">
        <v>18</v>
      </c>
      <c r="B19" s="1" t="s">
        <v>398</v>
      </c>
      <c r="C19" s="1" t="s">
        <v>399</v>
      </c>
      <c r="D19" s="1">
        <v>0</v>
      </c>
      <c r="E19" s="191">
        <f>'Interventions cost'!D19+'Interventions cost'!E19+'Interventions cost'!F19+'Interventions cost'!G19</f>
        <v>129346582.87461023</v>
      </c>
      <c r="F19" s="192">
        <f>'Interventions cost'!X19+'Interventions cost'!Y19+'Interventions cost'!Z19+'Interventions cost'!AA19</f>
        <v>2406619783.7361927</v>
      </c>
      <c r="G19" s="240">
        <f>'Interventions cost'!H19+'Interventions cost'!I19+'Interventions cost'!J19+'Interventions cost'!K19</f>
        <v>45653794.402545065</v>
      </c>
      <c r="H19" s="192">
        <f>'Interventions cost'!AB19+'Interventions cost'!AC19+'Interventions cost'!AD19+'Interventions cost'!AE19</f>
        <v>849433532.52942038</v>
      </c>
      <c r="I19" s="240">
        <f>'Interventions cost'!L19+'Interventions cost'!M19+'Interventions cost'!N19+'Interventions cost'!O19</f>
        <v>21557068.232413635</v>
      </c>
      <c r="J19" s="192">
        <f>'Interventions cost'!AF19+'Interventions cost'!AG19+'Interventions cost'!AH19+'Interventions cost'!AI19</f>
        <v>401090355.34220707</v>
      </c>
      <c r="K19" s="240">
        <f>'Interventions cost'!P19+'Interventions cost'!Q19+'Interventions cost'!R19+'Interventions cost'!S19</f>
        <v>62101992.148919433</v>
      </c>
      <c r="L19" s="192">
        <f>'Interventions cost'!AJ19+'Interventions cost'!AK19+'Interventions cost'!AL19+'Interventions cost'!AM19</f>
        <v>1155468351.7221568</v>
      </c>
      <c r="M19" s="240">
        <f>'Interventions cost'!T19+'Interventions cost'!U19+'Interventions cost'!V19+'Interventions cost'!W19</f>
        <v>1508816.1758693478</v>
      </c>
      <c r="N19" s="192">
        <f>'Interventions cost'!AN19+'Interventions cost'!AO19+'Interventions cost'!AP19+'Interventions cost'!AQ19</f>
        <v>28073001.838698953</v>
      </c>
      <c r="O19" s="240">
        <f>'Interventions cost'!AR19+'Interventions cost'!AS19+'Interventions cost'!AT19+'Interventions cost'!AU19</f>
        <v>50433371.308199823</v>
      </c>
      <c r="P19" s="192">
        <f>'Interventions cost'!BL19+'Interventions cost'!BM19+'Interventions cost'!BN19+'Interventions cost'!BO19</f>
        <v>462786181.06462801</v>
      </c>
      <c r="Q19" s="240">
        <f>'Interventions cost'!AV19+'Interventions cost'!AW19+'Interventions cost'!AX19+'Interventions cost'!AY19</f>
        <v>36931513.103287108</v>
      </c>
      <c r="R19" s="192">
        <f>'Interventions cost'!BP19+'Interventions cost'!BQ19+'Interventions cost'!BR19+'Interventions cost'!BS19</f>
        <v>338890569.21383464</v>
      </c>
      <c r="S19" s="240">
        <f>'Interventions cost'!AZ19+'Interventions cost'!BA19+'Interventions cost'!BB19+'Interventions cost'!BC19</f>
        <v>9722237.7728185393</v>
      </c>
      <c r="T19" s="192">
        <f>'Interventions cost'!BT19+'Interventions cost'!BU19+'Interventions cost'!BV19+'Interventions cost'!BW19</f>
        <v>89213097.867075086</v>
      </c>
      <c r="U19" s="240">
        <f>'Interventions cost'!BD19+'Interventions cost'!BE19+'Interventions cost'!BF19+'Interventions cost'!BG19</f>
        <v>6770416.1336604552</v>
      </c>
      <c r="V19" s="192">
        <f>'Interventions cost'!BX19+'Interventions cost'!BY19+'Interventions cost'!BZ19+'Interventions cost'!CA19</f>
        <v>62126622.61992465</v>
      </c>
      <c r="W19" s="240">
        <f>'Interventions cost'!BH19+'Interventions cost'!BI19+'Interventions cost'!BJ19+'Interventions cost'!BK19</f>
        <v>353343.60671033064</v>
      </c>
      <c r="X19" s="240">
        <f>'Interventions cost'!CB19+'Interventions cost'!CC19+'Interventions cost'!CD19+'Interventions cost'!CE19</f>
        <v>3242347.9555587256</v>
      </c>
      <c r="Y19" s="242">
        <f>'Interventions cost'!CF19+'Interventions cost'!CG19+'Interventions cost'!CH19+'Interventions cost'!CI19</f>
        <v>37873643.53959547</v>
      </c>
      <c r="Z19" s="192">
        <f>'Interventions cost'!CJ19+'Interventions cost'!CK19+'Interventions cost'!CL19+'Interventions cost'!CM19</f>
        <v>347535736.79582024</v>
      </c>
      <c r="AA19" s="196">
        <f>'Food volume'!Y20+'Food volume'!Z20+'Food volume'!AA20+'Food volume'!AB20</f>
        <v>36956166.535602927</v>
      </c>
      <c r="AB19" s="178">
        <f>'Food volume'!AC20+'Food volume'!AD20+'Food volume'!AE20+'Food volume'!AF20</f>
        <v>13043941.257870018</v>
      </c>
      <c r="AC19" s="178">
        <f>'Food volume'!AG20+'Food volume'!AH20+'Food volume'!AI20+'Food volume'!AJ20</f>
        <v>6159162.3521181811</v>
      </c>
      <c r="AD19" s="178">
        <f>'Food volume'!AK20+'Food volume'!AL20+'Food volume'!AM20+'Food volume'!AN20</f>
        <v>17743426.328262694</v>
      </c>
      <c r="AE19" s="178">
        <f>'Food volume'!AO20+'Food volume'!AP20+'Food volume'!AQ20+'Food volume'!AR20</f>
        <v>431090.33596267074</v>
      </c>
      <c r="AF19" s="118">
        <f>SUM('Food volume'!AS20:AV20)</f>
        <v>14409534.659485664</v>
      </c>
      <c r="AG19" s="196">
        <f>'Food volume'!AW20+'Food volume'!AX20+'Food volume'!AY20+'Food volume'!AZ20</f>
        <v>10551860.886653461</v>
      </c>
      <c r="AH19" s="250">
        <f>'Food volume'!BA20+'Food volume'!BB20+'Food volume'!BC20+'Food volume'!BD20</f>
        <v>2777782.2208052971</v>
      </c>
      <c r="AI19" s="250">
        <f>'Food volume'!BE20+'Food volume'!BF20+'Food volume'!BG20+'Food volume'!BH20</f>
        <v>1934404.6096172729</v>
      </c>
      <c r="AJ19" s="247">
        <f>'Food volume'!BI20+'Food volume'!BJ20+'Food volume'!BK20+'Food volume'!BL20</f>
        <v>100955.31620295162</v>
      </c>
      <c r="AK19" s="250">
        <f>'Food volume'!BM20+'Food volume'!BN20+'Food volume'!BO20+'Food volume'!BP20</f>
        <v>10821041.011312991</v>
      </c>
      <c r="AL19" s="220"/>
    </row>
    <row r="20" spans="1:38">
      <c r="A20" s="9">
        <v>19</v>
      </c>
      <c r="B20" s="1" t="s">
        <v>403</v>
      </c>
      <c r="C20" s="1" t="s">
        <v>404</v>
      </c>
      <c r="D20" s="1">
        <v>0</v>
      </c>
      <c r="E20" s="191">
        <f>'Interventions cost'!D20+'Interventions cost'!E20+'Interventions cost'!F20+'Interventions cost'!G20</f>
        <v>81671602.07718721</v>
      </c>
      <c r="F20" s="192">
        <f>'Interventions cost'!X20+'Interventions cost'!Y20+'Interventions cost'!Z20+'Interventions cost'!AA20</f>
        <v>800625850.99657536</v>
      </c>
      <c r="G20" s="240">
        <f>'Interventions cost'!H20+'Interventions cost'!I20+'Interventions cost'!J20+'Interventions cost'!K20</f>
        <v>13154249.585964918</v>
      </c>
      <c r="H20" s="192">
        <f>'Interventions cost'!AB20+'Interventions cost'!AC20+'Interventions cost'!AD20+'Interventions cost'!AE20</f>
        <v>128950969.50628135</v>
      </c>
      <c r="I20" s="240">
        <f>'Interventions cost'!L20+'Interventions cost'!M20+'Interventions cost'!N20+'Interventions cost'!O20</f>
        <v>12339935.770148003</v>
      </c>
      <c r="J20" s="192">
        <f>'Interventions cost'!AF20+'Interventions cost'!AG20+'Interventions cost'!AH20+'Interventions cost'!AI20</f>
        <v>120968259.78607136</v>
      </c>
      <c r="K20" s="240">
        <f>'Interventions cost'!P20+'Interventions cost'!Q20+'Interventions cost'!R20+'Interventions cost'!S20</f>
        <v>36104927.50107643</v>
      </c>
      <c r="L20" s="192">
        <f>'Interventions cost'!AJ20+'Interventions cost'!AK20+'Interventions cost'!AL20+'Interventions cost'!AM20</f>
        <v>353936222.26731431</v>
      </c>
      <c r="M20" s="240">
        <f>'Interventions cost'!T20+'Interventions cost'!U20+'Interventions cost'!V20+'Interventions cost'!W20</f>
        <v>155874.92387192062</v>
      </c>
      <c r="N20" s="192">
        <f>'Interventions cost'!AN20+'Interventions cost'!AO20+'Interventions cost'!AP20+'Interventions cost'!AQ20</f>
        <v>1528040.2294060264</v>
      </c>
      <c r="O20" s="240">
        <f>'Interventions cost'!AR20+'Interventions cost'!AS20+'Interventions cost'!AT20+'Interventions cost'!AU20</f>
        <v>22054996.468243934</v>
      </c>
      <c r="P20" s="192">
        <f>'Interventions cost'!BL20+'Interventions cost'!BM20+'Interventions cost'!BN20+'Interventions cost'!BO20</f>
        <v>112217913.66915934</v>
      </c>
      <c r="Q20" s="240">
        <f>'Interventions cost'!AV20+'Interventions cost'!AW20+'Interventions cost'!AX20+'Interventions cost'!AY20</f>
        <v>17457562.381909978</v>
      </c>
      <c r="R20" s="192">
        <f>'Interventions cost'!BP20+'Interventions cost'!BQ20+'Interventions cost'!BR20+'Interventions cost'!BS20</f>
        <v>88825733.029152527</v>
      </c>
      <c r="S20" s="240">
        <f>'Interventions cost'!AZ20+'Interventions cost'!BA20+'Interventions cost'!BB20+'Interventions cost'!BC20</f>
        <v>7190659.9098552614</v>
      </c>
      <c r="T20" s="192">
        <f>'Interventions cost'!BT20+'Interventions cost'!BU20+'Interventions cost'!BV20+'Interventions cost'!BW20</f>
        <v>36586759.564902864</v>
      </c>
      <c r="U20" s="240">
        <f>'Interventions cost'!BD20+'Interventions cost'!BE20+'Interventions cost'!BF20+'Interventions cost'!BG20</f>
        <v>4809980.7225005878</v>
      </c>
      <c r="V20" s="192">
        <f>'Interventions cost'!BX20+'Interventions cost'!BY20+'Interventions cost'!BZ20+'Interventions cost'!CA20</f>
        <v>24473638.082195036</v>
      </c>
      <c r="W20" s="240">
        <f>'Interventions cost'!BH20+'Interventions cost'!BI20+'Interventions cost'!BJ20+'Interventions cost'!BK20</f>
        <v>253959.10498839983</v>
      </c>
      <c r="X20" s="240">
        <f>'Interventions cost'!CB20+'Interventions cost'!CC20+'Interventions cost'!CD20+'Interventions cost'!CE20</f>
        <v>1292168.0110046444</v>
      </c>
      <c r="Y20" s="242">
        <f>'Interventions cost'!CF20+'Interventions cost'!CG20+'Interventions cost'!CH20+'Interventions cost'!CI20</f>
        <v>15574502.810202718</v>
      </c>
      <c r="Z20" s="192">
        <f>'Interventions cost'!CJ20+'Interventions cost'!CK20+'Interventions cost'!CL20+'Interventions cost'!CM20</f>
        <v>79244547.34381406</v>
      </c>
      <c r="AA20" s="196">
        <f>'Food volume'!Y21+'Food volume'!Z21+'Food volume'!AA21+'Food volume'!AB21</f>
        <v>23334743.450624913</v>
      </c>
      <c r="AB20" s="178">
        <f>'Food volume'!AC21+'Food volume'!AD21+'Food volume'!AE21+'Food volume'!AF21</f>
        <v>3758357.0245614047</v>
      </c>
      <c r="AC20" s="178">
        <f>'Food volume'!AG21+'Food volume'!AH21+'Food volume'!AI21+'Food volume'!AJ21</f>
        <v>3525695.9343280015</v>
      </c>
      <c r="AD20" s="178">
        <f>'Food volume'!AK21+'Food volume'!AL21+'Food volume'!AM21+'Food volume'!AN21</f>
        <v>10315693.571736123</v>
      </c>
      <c r="AE20" s="178">
        <f>'Food volume'!AO21+'Food volume'!AP21+'Food volume'!AQ21+'Food volume'!AR21</f>
        <v>44535.692534834459</v>
      </c>
      <c r="AF20" s="118">
        <f>SUM('Food volume'!AS21:AV21)</f>
        <v>6301427.5623554103</v>
      </c>
      <c r="AG20" s="196">
        <f>'Food volume'!AW21+'Food volume'!AX21+'Food volume'!AY21+'Food volume'!AZ21</f>
        <v>4987874.9662599936</v>
      </c>
      <c r="AH20" s="250">
        <f>'Food volume'!BA21+'Food volume'!BB21+'Food volume'!BC21+'Food volume'!BD21</f>
        <v>2054474.2599586458</v>
      </c>
      <c r="AI20" s="250">
        <f>'Food volume'!BE21+'Food volume'!BF21+'Food volume'!BG21+'Food volume'!BH21</f>
        <v>1374280.2064287395</v>
      </c>
      <c r="AJ20" s="247">
        <f>'Food volume'!BI21+'Food volume'!BJ21+'Food volume'!BK21+'Food volume'!BL21</f>
        <v>72559.744282399944</v>
      </c>
      <c r="AK20" s="250">
        <f>'Food volume'!BM21+'Food volume'!BN21+'Food volume'!BO21+'Food volume'!BP21</f>
        <v>4449857.9457722045</v>
      </c>
      <c r="AL20" s="220"/>
    </row>
    <row r="21" spans="1:38">
      <c r="A21" s="9">
        <v>20</v>
      </c>
      <c r="B21" s="1" t="s">
        <v>408</v>
      </c>
      <c r="C21" s="1" t="s">
        <v>409</v>
      </c>
      <c r="D21" s="1">
        <v>0</v>
      </c>
      <c r="E21" s="191">
        <f>'Interventions cost'!D21+'Interventions cost'!E21+'Interventions cost'!F21+'Interventions cost'!G21</f>
        <v>145148033.35352394</v>
      </c>
      <c r="F21" s="192">
        <f>'Interventions cost'!X21+'Interventions cost'!Y21+'Interventions cost'!Z21+'Interventions cost'!AA21</f>
        <v>2700621236.9570036</v>
      </c>
      <c r="G21" s="240">
        <f>'Interventions cost'!H21+'Interventions cost'!I21+'Interventions cost'!J21+'Interventions cost'!K21</f>
        <v>30958945.232776262</v>
      </c>
      <c r="H21" s="192">
        <f>'Interventions cost'!AB21+'Interventions cost'!AC21+'Interventions cost'!AD21+'Interventions cost'!AE21</f>
        <v>576021479.84869337</v>
      </c>
      <c r="I21" s="240">
        <f>'Interventions cost'!L21+'Interventions cost'!M21+'Interventions cost'!N21+'Interventions cost'!O21</f>
        <v>26739313.142921455</v>
      </c>
      <c r="J21" s="192">
        <f>'Interventions cost'!AF21+'Interventions cost'!AG21+'Interventions cost'!AH21+'Interventions cost'!AI21</f>
        <v>497511094.48059225</v>
      </c>
      <c r="K21" s="240">
        <f>'Interventions cost'!P21+'Interventions cost'!Q21+'Interventions cost'!R21+'Interventions cost'!S21</f>
        <v>92824855.074030057</v>
      </c>
      <c r="L21" s="192">
        <f>'Interventions cost'!AJ21+'Interventions cost'!AK21+'Interventions cost'!AL21+'Interventions cost'!AM21</f>
        <v>1727097289.1503904</v>
      </c>
      <c r="M21" s="240">
        <f>'Interventions cost'!T21+'Interventions cost'!U21+'Interventions cost'!V21+'Interventions cost'!W21</f>
        <v>2786656.1531654149</v>
      </c>
      <c r="N21" s="192">
        <f>'Interventions cost'!AN21+'Interventions cost'!AO21+'Interventions cost'!AP21+'Interventions cost'!AQ21</f>
        <v>51848465.414655358</v>
      </c>
      <c r="O21" s="240">
        <f>'Interventions cost'!AR21+'Interventions cost'!AS21+'Interventions cost'!AT21+'Interventions cost'!AU21</f>
        <v>27850474.459507354</v>
      </c>
      <c r="P21" s="192">
        <f>'Interventions cost'!BL21+'Interventions cost'!BM21+'Interventions cost'!BN21+'Interventions cost'!BO21</f>
        <v>255561236.17414832</v>
      </c>
      <c r="Q21" s="240">
        <f>'Interventions cost'!AV21+'Interventions cost'!AW21+'Interventions cost'!AX21+'Interventions cost'!AY21</f>
        <v>24648794.656490121</v>
      </c>
      <c r="R21" s="192">
        <f>'Interventions cost'!BP21+'Interventions cost'!BQ21+'Interventions cost'!BR21+'Interventions cost'!BS21</f>
        <v>226182015.02362427</v>
      </c>
      <c r="S21" s="240">
        <f>'Interventions cost'!AZ21+'Interventions cost'!BA21+'Interventions cost'!BB21+'Interventions cost'!BC21</f>
        <v>7051646.4705628753</v>
      </c>
      <c r="T21" s="192">
        <f>'Interventions cost'!BT21+'Interventions cost'!BU21+'Interventions cost'!BV21+'Interventions cost'!BW21</f>
        <v>64707245.533654571</v>
      </c>
      <c r="U21" s="240">
        <f>'Interventions cost'!BD21+'Interventions cost'!BE21+'Interventions cost'!BF21+'Interventions cost'!BG21</f>
        <v>6345026.8604152733</v>
      </c>
      <c r="V21" s="192">
        <f>'Interventions cost'!BX21+'Interventions cost'!BY21+'Interventions cost'!BZ21+'Interventions cost'!CA21</f>
        <v>58223169.962993354</v>
      </c>
      <c r="W21" s="240">
        <f>'Interventions cost'!BH21+'Interventions cost'!BI21+'Interventions cost'!BJ21+'Interventions cost'!BK21</f>
        <v>399758.62363140169</v>
      </c>
      <c r="X21" s="240">
        <f>'Interventions cost'!CB21+'Interventions cost'!CC21+'Interventions cost'!CD21+'Interventions cost'!CE21</f>
        <v>3668260.9545864188</v>
      </c>
      <c r="Y21" s="242">
        <f>'Interventions cost'!CF21+'Interventions cost'!CG21+'Interventions cost'!CH21+'Interventions cost'!CI21</f>
        <v>33121398.849051785</v>
      </c>
      <c r="Z21" s="192">
        <f>'Interventions cost'!CJ21+'Interventions cost'!CK21+'Interventions cost'!CL21+'Interventions cost'!CM21</f>
        <v>303928238.13423878</v>
      </c>
      <c r="AA21" s="196">
        <f>'Food volume'!Y22+'Food volume'!Z22+'Food volume'!AA22+'Food volume'!AB22</f>
        <v>41470866.67243541</v>
      </c>
      <c r="AB21" s="178">
        <f>'Food volume'!AC22+'Food volume'!AD22+'Food volume'!AE22+'Food volume'!AF22</f>
        <v>8845412.9236503597</v>
      </c>
      <c r="AC21" s="178">
        <f>'Food volume'!AG22+'Food volume'!AH22+'Food volume'!AI22+'Food volume'!AJ22</f>
        <v>7639803.7551204134</v>
      </c>
      <c r="AD21" s="178">
        <f>'Food volume'!AK22+'Food volume'!AL22+'Food volume'!AM22+'Food volume'!AN22</f>
        <v>26521387.164008584</v>
      </c>
      <c r="AE21" s="178">
        <f>'Food volume'!AO22+'Food volume'!AP22+'Food volume'!AQ22+'Food volume'!AR22</f>
        <v>796187.47233297559</v>
      </c>
      <c r="AF21" s="118">
        <f>SUM('Food volume'!AS22:AV22)</f>
        <v>7957278.4170021024</v>
      </c>
      <c r="AG21" s="196">
        <f>'Food volume'!AW22+'Food volume'!AX22+'Food volume'!AY22+'Food volume'!AZ22</f>
        <v>7042512.7589971777</v>
      </c>
      <c r="AH21" s="250">
        <f>'Food volume'!BA22+'Food volume'!BB22+'Food volume'!BC22+'Food volume'!BD22</f>
        <v>2014756.1344465357</v>
      </c>
      <c r="AI21" s="250">
        <f>'Food volume'!BE22+'Food volume'!BF22+'Food volume'!BG22+'Food volume'!BH22</f>
        <v>1812864.8172615068</v>
      </c>
      <c r="AJ21" s="247">
        <f>'Food volume'!BI22+'Food volume'!BJ22+'Food volume'!BK22+'Food volume'!BL22</f>
        <v>114216.74960897194</v>
      </c>
      <c r="AK21" s="250">
        <f>'Food volume'!BM22+'Food volume'!BN22+'Food volume'!BO22+'Food volume'!BP22</f>
        <v>9463256.8140147943</v>
      </c>
      <c r="AL21" s="220"/>
    </row>
    <row r="22" spans="1:38">
      <c r="A22" s="9">
        <v>21</v>
      </c>
      <c r="B22" s="1" t="s">
        <v>413</v>
      </c>
      <c r="C22" s="1" t="s">
        <v>414</v>
      </c>
      <c r="D22" s="1">
        <v>1</v>
      </c>
      <c r="E22" s="191">
        <f>'Interventions cost'!D22+'Interventions cost'!E22+'Interventions cost'!F22+'Interventions cost'!G22</f>
        <v>159187511.56927788</v>
      </c>
      <c r="F22" s="192">
        <f>'Interventions cost'!X22+'Interventions cost'!Y22+'Interventions cost'!Z22+'Interventions cost'!AA22</f>
        <v>2961839471.536272</v>
      </c>
      <c r="G22" s="240">
        <f>'Interventions cost'!H22+'Interventions cost'!I22+'Interventions cost'!J22+'Interventions cost'!K22</f>
        <v>61720360.618447736</v>
      </c>
      <c r="H22" s="192">
        <f>'Interventions cost'!AB22+'Interventions cost'!AC22+'Interventions cost'!AD22+'Interventions cost'!AE22</f>
        <v>1148367723.5422761</v>
      </c>
      <c r="I22" s="240">
        <f>'Interventions cost'!L22+'Interventions cost'!M22+'Interventions cost'!N22+'Interventions cost'!O22</f>
        <v>36511534.0712936</v>
      </c>
      <c r="J22" s="192">
        <f>'Interventions cost'!AF22+'Interventions cost'!AG22+'Interventions cost'!AH22+'Interventions cost'!AI22</f>
        <v>679332830.27441573</v>
      </c>
      <c r="K22" s="240">
        <f>'Interventions cost'!P22+'Interventions cost'!Q22+'Interventions cost'!R22+'Interventions cost'!S22</f>
        <v>116325518.72191043</v>
      </c>
      <c r="L22" s="192">
        <f>'Interventions cost'!AJ22+'Interventions cost'!AK22+'Interventions cost'!AL22+'Interventions cost'!AM22</f>
        <v>2164350139.6624589</v>
      </c>
      <c r="M22" s="240">
        <f>'Interventions cost'!T22+'Interventions cost'!U22+'Interventions cost'!V22+'Interventions cost'!W22</f>
        <v>791107.1319538937</v>
      </c>
      <c r="N22" s="192">
        <f>'Interventions cost'!AN22+'Interventions cost'!AO22+'Interventions cost'!AP22+'Interventions cost'!AQ22</f>
        <v>14719322.555746924</v>
      </c>
      <c r="O22" s="240">
        <f>'Interventions cost'!AR22+'Interventions cost'!AS22+'Interventions cost'!AT22+'Interventions cost'!AU22</f>
        <v>30167048.952703543</v>
      </c>
      <c r="P22" s="192">
        <f>'Interventions cost'!BL22+'Interventions cost'!BM22+'Interventions cost'!BN22+'Interventions cost'!BO22</f>
        <v>276818563.11956477</v>
      </c>
      <c r="Q22" s="240">
        <f>'Interventions cost'!AV22+'Interventions cost'!AW22+'Interventions cost'!AX22+'Interventions cost'!AY22</f>
        <v>29371926.65098542</v>
      </c>
      <c r="R22" s="192">
        <f>'Interventions cost'!BP22+'Interventions cost'!BQ22+'Interventions cost'!BR22+'Interventions cost'!BS22</f>
        <v>269522370.06432039</v>
      </c>
      <c r="S22" s="240">
        <f>'Interventions cost'!AZ22+'Interventions cost'!BA22+'Interventions cost'!BB22+'Interventions cost'!BC22</f>
        <v>5815381.9053486483</v>
      </c>
      <c r="T22" s="192">
        <f>'Interventions cost'!BT22+'Interventions cost'!BU22+'Interventions cost'!BV22+'Interventions cost'!BW22</f>
        <v>53363047.394990891</v>
      </c>
      <c r="U22" s="240">
        <f>'Interventions cost'!BD22+'Interventions cost'!BE22+'Interventions cost'!BF22+'Interventions cost'!BG22</f>
        <v>8458471.0788640771</v>
      </c>
      <c r="V22" s="192">
        <f>'Interventions cost'!BX22+'Interventions cost'!BY22+'Interventions cost'!BZ22+'Interventions cost'!CA22</f>
        <v>77616534.978629708</v>
      </c>
      <c r="W22" s="240">
        <f>'Interventions cost'!BH22+'Interventions cost'!BI22+'Interventions cost'!BJ22+'Interventions cost'!BK22</f>
        <v>116965.85124019298</v>
      </c>
      <c r="X22" s="240">
        <f>'Interventions cost'!CB22+'Interventions cost'!CC22+'Interventions cost'!CD22+'Interventions cost'!CE22</f>
        <v>1073300.8364567016</v>
      </c>
      <c r="Y22" s="242">
        <f>'Interventions cost'!CF22+'Interventions cost'!CG22+'Interventions cost'!CH22+'Interventions cost'!CI22</f>
        <v>33746276.541983657</v>
      </c>
      <c r="Z22" s="192">
        <f>'Interventions cost'!CJ22+'Interventions cost'!CK22+'Interventions cost'!CL22+'Interventions cost'!CM22</f>
        <v>309662234.36814505</v>
      </c>
      <c r="AA22" s="196">
        <f>'Food volume'!Y23+'Food volume'!Z23+'Food volume'!AA23+'Food volume'!AB23</f>
        <v>45482146.162650824</v>
      </c>
      <c r="AB22" s="178">
        <f>'Food volume'!AC23+'Food volume'!AD23+'Food volume'!AE23+'Food volume'!AF23</f>
        <v>17634388.748127926</v>
      </c>
      <c r="AC22" s="178">
        <f>'Food volume'!AG23+'Food volume'!AH23+'Food volume'!AI23+'Food volume'!AJ23</f>
        <v>10431866.877512459</v>
      </c>
      <c r="AD22" s="178">
        <f>'Food volume'!AK23+'Food volume'!AL23+'Food volume'!AM23+'Food volume'!AN23</f>
        <v>33235862.491974406</v>
      </c>
      <c r="AE22" s="178">
        <f>'Food volume'!AO23+'Food volume'!AP23+'Food volume'!AQ23+'Food volume'!AR23</f>
        <v>226030.60912968393</v>
      </c>
      <c r="AF22" s="118">
        <f>SUM('Food volume'!AS23:AV23)</f>
        <v>8619156.8436295837</v>
      </c>
      <c r="AG22" s="196">
        <f>'Food volume'!AW23+'Food volume'!AX23+'Food volume'!AY23+'Food volume'!AZ23</f>
        <v>8391979.0431386903</v>
      </c>
      <c r="AH22" s="250">
        <f>'Food volume'!BA23+'Food volume'!BB23+'Food volume'!BC23+'Food volume'!BD23</f>
        <v>1661537.6872424711</v>
      </c>
      <c r="AI22" s="250">
        <f>'Food volume'!BE23+'Food volume'!BF23+'Food volume'!BG23+'Food volume'!BH23</f>
        <v>2416706.0225325935</v>
      </c>
      <c r="AJ22" s="247">
        <f>'Food volume'!BI23+'Food volume'!BJ23+'Food volume'!BK23+'Food volume'!BL23</f>
        <v>33418.814640055134</v>
      </c>
      <c r="AK22" s="250">
        <f>'Food volume'!BM23+'Food volume'!BN23+'Food volume'!BO23+'Food volume'!BP23</f>
        <v>9641793.2977096159</v>
      </c>
      <c r="AL22" s="220"/>
    </row>
    <row r="23" spans="1:38">
      <c r="A23" s="9">
        <v>22</v>
      </c>
      <c r="B23" s="1" t="s">
        <v>418</v>
      </c>
      <c r="C23" s="1" t="s">
        <v>419</v>
      </c>
      <c r="D23" s="1">
        <v>1</v>
      </c>
      <c r="E23" s="191">
        <f>'Interventions cost'!D23+'Interventions cost'!E23+'Interventions cost'!F23+'Interventions cost'!G23</f>
        <v>710716302.34596765</v>
      </c>
      <c r="F23" s="192">
        <f>'Interventions cost'!X23+'Interventions cost'!Y23+'Interventions cost'!Z23+'Interventions cost'!AA23</f>
        <v>5715858773.9237261</v>
      </c>
      <c r="G23" s="240">
        <f>'Interventions cost'!H23+'Interventions cost'!I23+'Interventions cost'!J23+'Interventions cost'!K23</f>
        <v>202572182.90060949</v>
      </c>
      <c r="H23" s="192">
        <f>'Interventions cost'!AB23+'Interventions cost'!AC23+'Interventions cost'!AD23+'Interventions cost'!AE23</f>
        <v>1629164809.0290918</v>
      </c>
      <c r="I23" s="240">
        <f>'Interventions cost'!L23+'Interventions cost'!M23+'Interventions cost'!N23+'Interventions cost'!O23</f>
        <v>158809261.26583648</v>
      </c>
      <c r="J23" s="192">
        <f>'Interventions cost'!AF23+'Interventions cost'!AG23+'Interventions cost'!AH23+'Interventions cost'!AI23</f>
        <v>1277206258.5174878</v>
      </c>
      <c r="K23" s="240">
        <f>'Interventions cost'!P23+'Interventions cost'!Q23+'Interventions cost'!R23+'Interventions cost'!S23</f>
        <v>408041122.19449377</v>
      </c>
      <c r="L23" s="192">
        <f>'Interventions cost'!AJ23+'Interventions cost'!AK23+'Interventions cost'!AL23+'Interventions cost'!AM23</f>
        <v>3281626467.1550255</v>
      </c>
      <c r="M23" s="240">
        <f>'Interventions cost'!T23+'Interventions cost'!U23+'Interventions cost'!V23+'Interventions cost'!W23</f>
        <v>3222665.984711607</v>
      </c>
      <c r="N23" s="192">
        <f>'Interventions cost'!AN23+'Interventions cost'!AO23+'Interventions cost'!AP23+'Interventions cost'!AQ23</f>
        <v>25917941.636257298</v>
      </c>
      <c r="O23" s="240">
        <f>'Interventions cost'!AR23+'Interventions cost'!AS23+'Interventions cost'!AT23+'Interventions cost'!AU23</f>
        <v>212907837.95592469</v>
      </c>
      <c r="P23" s="192">
        <f>'Interventions cost'!BL23+'Interventions cost'!BM23+'Interventions cost'!BN23+'Interventions cost'!BO23</f>
        <v>909217784.50925243</v>
      </c>
      <c r="Q23" s="240">
        <f>'Interventions cost'!AV23+'Interventions cost'!AW23+'Interventions cost'!AX23+'Interventions cost'!AY23</f>
        <v>159005829.73745549</v>
      </c>
      <c r="R23" s="192">
        <f>'Interventions cost'!BP23+'Interventions cost'!BQ23+'Interventions cost'!BR23+'Interventions cost'!BS23</f>
        <v>679030559.07163525</v>
      </c>
      <c r="S23" s="240">
        <f>'Interventions cost'!AZ23+'Interventions cost'!BA23+'Interventions cost'!BB23+'Interventions cost'!BC23</f>
        <v>50770612.06114319</v>
      </c>
      <c r="T23" s="192">
        <f>'Interventions cost'!BT23+'Interventions cost'!BU23+'Interventions cost'!BV23+'Interventions cost'!BW23</f>
        <v>216814673.708572</v>
      </c>
      <c r="U23" s="240">
        <f>'Interventions cost'!BD23+'Interventions cost'!BE23+'Interventions cost'!BF23+'Interventions cost'!BG23</f>
        <v>51998136.573209196</v>
      </c>
      <c r="V23" s="192">
        <f>'Interventions cost'!BX23+'Interventions cost'!BY23+'Interventions cost'!BZ23+'Interventions cost'!CA23</f>
        <v>222056787.51709467</v>
      </c>
      <c r="W23" s="240">
        <f>'Interventions cost'!BH23+'Interventions cost'!BI23+'Interventions cost'!BJ23+'Interventions cost'!BK23</f>
        <v>997061.65728888311</v>
      </c>
      <c r="X23" s="240">
        <f>'Interventions cost'!CB23+'Interventions cost'!CC23+'Interventions cost'!CD23+'Interventions cost'!CE23</f>
        <v>4257927.7482822929</v>
      </c>
      <c r="Y23" s="242">
        <f>'Interventions cost'!CF23+'Interventions cost'!CG23+'Interventions cost'!CH23+'Interventions cost'!CI23</f>
        <v>167578631.20500359</v>
      </c>
      <c r="Z23" s="192">
        <f>'Interventions cost'!CJ23+'Interventions cost'!CK23+'Interventions cost'!CL23+'Interventions cost'!CM23</f>
        <v>715640500.87648022</v>
      </c>
      <c r="AA23" s="196">
        <f>'Food volume'!Y24+'Food volume'!Z24+'Food volume'!AA24+'Food volume'!AB24</f>
        <v>203061800.67027646</v>
      </c>
      <c r="AB23" s="178">
        <f>'Food volume'!AC24+'Food volume'!AD24+'Food volume'!AE24+'Food volume'!AF24</f>
        <v>57877766.543031275</v>
      </c>
      <c r="AC23" s="178">
        <f>'Food volume'!AG24+'Food volume'!AH24+'Food volume'!AI24+'Food volume'!AJ24</f>
        <v>45374074.647381857</v>
      </c>
      <c r="AD23" s="178">
        <f>'Food volume'!AK24+'Food volume'!AL24+'Food volume'!AM24+'Food volume'!AN24</f>
        <v>116583177.76985537</v>
      </c>
      <c r="AE23" s="178">
        <f>'Food volume'!AO24+'Food volume'!AP24+'Food volume'!AQ24+'Food volume'!AR24</f>
        <v>920761.7099176019</v>
      </c>
      <c r="AF23" s="118">
        <f>SUM('Food volume'!AS24:AV24)</f>
        <v>60830810.844549917</v>
      </c>
      <c r="AG23" s="196">
        <f>'Food volume'!AW24+'Food volume'!AX24+'Food volume'!AY24+'Food volume'!AZ24</f>
        <v>45430237.067844421</v>
      </c>
      <c r="AH23" s="250">
        <f>'Food volume'!BA24+'Food volume'!BB24+'Food volume'!BC24+'Food volume'!BD24</f>
        <v>14505889.160326626</v>
      </c>
      <c r="AI23" s="250">
        <f>'Food volume'!BE24+'Food volume'!BF24+'Food volume'!BG24+'Food volume'!BH24</f>
        <v>14856610.449488342</v>
      </c>
      <c r="AJ23" s="247">
        <f>'Food volume'!BI24+'Food volume'!BJ24+'Food volume'!BK24+'Food volume'!BL24</f>
        <v>284874.75922539516</v>
      </c>
      <c r="AK23" s="250">
        <f>'Food volume'!BM24+'Food volume'!BN24+'Food volume'!BO24+'Food volume'!BP24</f>
        <v>47879608.915715307</v>
      </c>
      <c r="AL23" s="220"/>
    </row>
    <row r="24" spans="1:38">
      <c r="A24" s="9">
        <v>23</v>
      </c>
      <c r="B24" s="1" t="s">
        <v>424</v>
      </c>
      <c r="C24" s="1" t="s">
        <v>425</v>
      </c>
      <c r="D24" s="1">
        <v>0</v>
      </c>
      <c r="E24" s="191">
        <f>'Interventions cost'!D24+'Interventions cost'!E24+'Interventions cost'!F24+'Interventions cost'!G24</f>
        <v>366639255.0773077</v>
      </c>
      <c r="F24" s="192">
        <f>'Interventions cost'!X24+'Interventions cost'!Y24+'Interventions cost'!Z24+'Interventions cost'!AA24</f>
        <v>2948656441.5098348</v>
      </c>
      <c r="G24" s="240">
        <f>'Interventions cost'!H24+'Interventions cost'!I24+'Interventions cost'!J24+'Interventions cost'!K24</f>
        <v>91208367.335802779</v>
      </c>
      <c r="H24" s="192">
        <f>'Interventions cost'!AB24+'Interventions cost'!AC24+'Interventions cost'!AD24+'Interventions cost'!AE24</f>
        <v>733533401.40188277</v>
      </c>
      <c r="I24" s="240">
        <f>'Interventions cost'!L24+'Interventions cost'!M24+'Interventions cost'!N24+'Interventions cost'!O24</f>
        <v>67694675.539142758</v>
      </c>
      <c r="J24" s="192">
        <f>'Interventions cost'!AF24+'Interventions cost'!AG24+'Interventions cost'!AH24+'Interventions cost'!AI24</f>
        <v>544427085.53486192</v>
      </c>
      <c r="K24" s="240">
        <f>'Interventions cost'!P24+'Interventions cost'!Q24+'Interventions cost'!R24+'Interventions cost'!S24</f>
        <v>249578480.4278248</v>
      </c>
      <c r="L24" s="192">
        <f>'Interventions cost'!AJ24+'Interventions cost'!AK24+'Interventions cost'!AL24+'Interventions cost'!AM24</f>
        <v>2007207858.3635817</v>
      </c>
      <c r="M24" s="240">
        <f>'Interventions cost'!T24+'Interventions cost'!U24+'Interventions cost'!V24+'Interventions cost'!W24</f>
        <v>2689576.9347201549</v>
      </c>
      <c r="N24" s="192">
        <f>'Interventions cost'!AN24+'Interventions cost'!AO24+'Interventions cost'!AP24+'Interventions cost'!AQ24</f>
        <v>21630630.773092326</v>
      </c>
      <c r="O24" s="240">
        <f>'Interventions cost'!AR24+'Interventions cost'!AS24+'Interventions cost'!AT24+'Interventions cost'!AU24</f>
        <v>72996123.107596725</v>
      </c>
      <c r="P24" s="192">
        <f>'Interventions cost'!BL24+'Interventions cost'!BM24+'Interventions cost'!BN24+'Interventions cost'!BO24</f>
        <v>311728182.32926333</v>
      </c>
      <c r="Q24" s="240">
        <f>'Interventions cost'!AV24+'Interventions cost'!AW24+'Interventions cost'!AX24+'Interventions cost'!AY24</f>
        <v>65773240.195902377</v>
      </c>
      <c r="R24" s="192">
        <f>'Interventions cost'!BP24+'Interventions cost'!BQ24+'Interventions cost'!BR24+'Interventions cost'!BS24</f>
        <v>280883035.14355946</v>
      </c>
      <c r="S24" s="240">
        <f>'Interventions cost'!AZ24+'Interventions cost'!BA24+'Interventions cost'!BB24+'Interventions cost'!BC24</f>
        <v>14556310.143193755</v>
      </c>
      <c r="T24" s="192">
        <f>'Interventions cost'!BT24+'Interventions cost'!BU24+'Interventions cost'!BV24+'Interventions cost'!BW24</f>
        <v>62162371.221692696</v>
      </c>
      <c r="U24" s="240">
        <f>'Interventions cost'!BD24+'Interventions cost'!BE24+'Interventions cost'!BF24+'Interventions cost'!BG24</f>
        <v>17764401.277945545</v>
      </c>
      <c r="V24" s="192">
        <f>'Interventions cost'!BX24+'Interventions cost'!BY24+'Interventions cost'!BZ24+'Interventions cost'!CA24</f>
        <v>75862447.001179159</v>
      </c>
      <c r="W24" s="240">
        <f>'Interventions cost'!BH24+'Interventions cost'!BI24+'Interventions cost'!BJ24+'Interventions cost'!BK24</f>
        <v>376802.87398555013</v>
      </c>
      <c r="X24" s="240">
        <f>'Interventions cost'!CB24+'Interventions cost'!CC24+'Interventions cost'!CD24+'Interventions cost'!CE24</f>
        <v>1609127.5810746981</v>
      </c>
      <c r="Y24" s="242">
        <f>'Interventions cost'!CF24+'Interventions cost'!CG24+'Interventions cost'!CH24+'Interventions cost'!CI24</f>
        <v>67015291.95677714</v>
      </c>
      <c r="Z24" s="192">
        <f>'Interventions cost'!CJ24+'Interventions cost'!CK24+'Interventions cost'!CL24+'Interventions cost'!CM24</f>
        <v>286187187.21757632</v>
      </c>
      <c r="AA24" s="196">
        <f>'Food volume'!Y25+'Food volume'!Z25+'Food volume'!AA25+'Food volume'!AB25</f>
        <v>104754072.87923078</v>
      </c>
      <c r="AB24" s="178">
        <f>'Food volume'!AC25+'Food volume'!AD25+'Food volume'!AE25+'Food volume'!AF25</f>
        <v>26059533.524515077</v>
      </c>
      <c r="AC24" s="178">
        <f>'Food volume'!AG25+'Food volume'!AH25+'Food volume'!AI25+'Food volume'!AJ25</f>
        <v>19341335.868326504</v>
      </c>
      <c r="AD24" s="178">
        <f>'Food volume'!AK25+'Food volume'!AL25+'Food volume'!AM25+'Food volume'!AN25</f>
        <v>71308137.265092805</v>
      </c>
      <c r="AE24" s="178">
        <f>'Food volume'!AO25+'Food volume'!AP25+'Food volume'!AQ25+'Food volume'!AR25</f>
        <v>768450.55277718708</v>
      </c>
      <c r="AF24" s="118">
        <f>SUM('Food volume'!AS25:AV25)</f>
        <v>20856035.173599064</v>
      </c>
      <c r="AG24" s="196">
        <f>'Food volume'!AW25+'Food volume'!AX25+'Food volume'!AY25+'Food volume'!AZ25</f>
        <v>18792354.341686394</v>
      </c>
      <c r="AH24" s="250">
        <f>'Food volume'!BA25+'Food volume'!BB25+'Food volume'!BC25+'Food volume'!BD25</f>
        <v>4158945.7551982161</v>
      </c>
      <c r="AI24" s="250">
        <f>'Food volume'!BE25+'Food volume'!BF25+'Food volume'!BG25+'Food volume'!BH25</f>
        <v>5075543.2222701553</v>
      </c>
      <c r="AJ24" s="247">
        <f>'Food volume'!BI25+'Food volume'!BJ25+'Food volume'!BK25+'Food volume'!BL25</f>
        <v>107657.96399587147</v>
      </c>
      <c r="AK24" s="250">
        <f>'Food volume'!BM25+'Food volume'!BN25+'Food volume'!BO25+'Food volume'!BP25</f>
        <v>19147226.273364898</v>
      </c>
      <c r="AL24" s="220"/>
    </row>
    <row r="25" spans="1:38">
      <c r="A25" s="9">
        <v>24</v>
      </c>
      <c r="B25" s="1" t="s">
        <v>429</v>
      </c>
      <c r="C25" s="1" t="s">
        <v>430</v>
      </c>
      <c r="D25" s="1">
        <v>0</v>
      </c>
      <c r="E25" s="191">
        <f>'Interventions cost'!D25+'Interventions cost'!E25+'Interventions cost'!F25+'Interventions cost'!G25</f>
        <v>66632151.238194697</v>
      </c>
      <c r="F25" s="192">
        <f>'Interventions cost'!X25+'Interventions cost'!Y25+'Interventions cost'!Z25+'Interventions cost'!AA25</f>
        <v>1239756395.8701112</v>
      </c>
      <c r="G25" s="240">
        <f>'Interventions cost'!H25+'Interventions cost'!I25+'Interventions cost'!J25+'Interventions cost'!K25</f>
        <v>20859120.33170519</v>
      </c>
      <c r="H25" s="192">
        <f>'Interventions cost'!AB25+'Interventions cost'!AC25+'Interventions cost'!AD25+'Interventions cost'!AE25</f>
        <v>388104351.47157991</v>
      </c>
      <c r="I25" s="240">
        <f>'Interventions cost'!L25+'Interventions cost'!M25+'Interventions cost'!N25+'Interventions cost'!O25</f>
        <v>13202365.120322719</v>
      </c>
      <c r="J25" s="192">
        <f>'Interventions cost'!AF25+'Interventions cost'!AG25+'Interventions cost'!AH25+'Interventions cost'!AI25</f>
        <v>245642926.0406394</v>
      </c>
      <c r="K25" s="240">
        <f>'Interventions cost'!P25+'Interventions cost'!Q25+'Interventions cost'!R25+'Interventions cost'!S25</f>
        <v>37098897.494171098</v>
      </c>
      <c r="L25" s="192">
        <f>'Interventions cost'!AJ25+'Interventions cost'!AK25+'Interventions cost'!AL25+'Interventions cost'!AM25</f>
        <v>690261301.6907059</v>
      </c>
      <c r="M25" s="240">
        <f>'Interventions cost'!T25+'Interventions cost'!U25+'Interventions cost'!V25+'Interventions cost'!W25</f>
        <v>1308362.0815960648</v>
      </c>
      <c r="N25" s="192">
        <f>'Interventions cost'!AN25+'Interventions cost'!AO25+'Interventions cost'!AP25+'Interventions cost'!AQ25</f>
        <v>24343357.202654239</v>
      </c>
      <c r="O25" s="240">
        <f>'Interventions cost'!AR25+'Interventions cost'!AS25+'Interventions cost'!AT25+'Interventions cost'!AU25</f>
        <v>29516270.392862</v>
      </c>
      <c r="P25" s="192">
        <f>'Interventions cost'!BL25+'Interventions cost'!BM25+'Interventions cost'!BN25+'Interventions cost'!BO25</f>
        <v>270846895.6181531</v>
      </c>
      <c r="Q25" s="240">
        <f>'Interventions cost'!AV25+'Interventions cost'!AW25+'Interventions cost'!AX25+'Interventions cost'!AY25</f>
        <v>14760141.445361547</v>
      </c>
      <c r="R25" s="192">
        <f>'Interventions cost'!BP25+'Interventions cost'!BQ25+'Interventions cost'!BR25+'Interventions cost'!BS25</f>
        <v>135441857.52979815</v>
      </c>
      <c r="S25" s="240">
        <f>'Interventions cost'!AZ25+'Interventions cost'!BA25+'Interventions cost'!BB25+'Interventions cost'!BC25</f>
        <v>5766559.7421567198</v>
      </c>
      <c r="T25" s="192">
        <f>'Interventions cost'!BT25+'Interventions cost'!BU25+'Interventions cost'!BV25+'Interventions cost'!BW25</f>
        <v>52915045.965206772</v>
      </c>
      <c r="U25" s="240">
        <f>'Interventions cost'!BD25+'Interventions cost'!BE25+'Interventions cost'!BF25+'Interventions cost'!BG25</f>
        <v>7559835.7209686842</v>
      </c>
      <c r="V25" s="192">
        <f>'Interventions cost'!BX25+'Interventions cost'!BY25+'Interventions cost'!BZ25+'Interventions cost'!CA25</f>
        <v>69370486.486082494</v>
      </c>
      <c r="W25" s="240">
        <f>'Interventions cost'!BH25+'Interventions cost'!BI25+'Interventions cost'!BJ25+'Interventions cost'!BK25</f>
        <v>208839.7082330265</v>
      </c>
      <c r="X25" s="240">
        <f>'Interventions cost'!CB25+'Interventions cost'!CC25+'Interventions cost'!CD25+'Interventions cost'!CE25</f>
        <v>1916352.7743801603</v>
      </c>
      <c r="Y25" s="242">
        <f>'Interventions cost'!CF25+'Interventions cost'!CG25+'Interventions cost'!CH25+'Interventions cost'!CI25</f>
        <v>24243179.74722119</v>
      </c>
      <c r="Z25" s="192">
        <f>'Interventions cost'!CJ25+'Interventions cost'!CK25+'Interventions cost'!CL25+'Interventions cost'!CM25</f>
        <v>222460015.68123791</v>
      </c>
      <c r="AA25" s="196">
        <f>'Food volume'!Y26+'Food volume'!Z26+'Food volume'!AA26+'Food volume'!AB26</f>
        <v>19037757.496627055</v>
      </c>
      <c r="AB25" s="178">
        <f>'Food volume'!AC26+'Food volume'!AD26+'Food volume'!AE26+'Food volume'!AF26</f>
        <v>5959748.6662014835</v>
      </c>
      <c r="AC25" s="178">
        <f>'Food volume'!AG26+'Food volume'!AH26+'Food volume'!AI26+'Food volume'!AJ26</f>
        <v>3772104.320092205</v>
      </c>
      <c r="AD25" s="178">
        <f>'Food volume'!AK26+'Food volume'!AL26+'Food volume'!AM26+'Food volume'!AN26</f>
        <v>10599684.998334598</v>
      </c>
      <c r="AE25" s="178">
        <f>'Food volume'!AO26+'Food volume'!AP26+'Food volume'!AQ26+'Food volume'!AR26</f>
        <v>373817.73759887571</v>
      </c>
      <c r="AF25" s="118">
        <f>SUM('Food volume'!AS26:AV26)</f>
        <v>8433220.1122462861</v>
      </c>
      <c r="AG25" s="196">
        <f>'Food volume'!AW26+'Food volume'!AX26+'Food volume'!AY26+'Food volume'!AZ26</f>
        <v>4217183.2701032991</v>
      </c>
      <c r="AH25" s="250">
        <f>'Food volume'!BA26+'Food volume'!BB26+'Food volume'!BC26+'Food volume'!BD26</f>
        <v>1647588.4977590628</v>
      </c>
      <c r="AI25" s="250">
        <f>'Food volume'!BE26+'Food volume'!BF26+'Food volume'!BG26+'Food volume'!BH26</f>
        <v>2159953.0631339094</v>
      </c>
      <c r="AJ25" s="247">
        <f>'Food volume'!BI26+'Food volume'!BJ26+'Food volume'!BK26+'Food volume'!BL26</f>
        <v>59668.488066578997</v>
      </c>
      <c r="AK25" s="250">
        <f>'Food volume'!BM26+'Food volume'!BN26+'Food volume'!BO26+'Food volume'!BP26</f>
        <v>6926622.7849203404</v>
      </c>
      <c r="AL25" s="220"/>
    </row>
    <row r="26" spans="1:38">
      <c r="A26" s="9">
        <v>25</v>
      </c>
      <c r="B26" s="1" t="s">
        <v>434</v>
      </c>
      <c r="C26" s="1" t="s">
        <v>435</v>
      </c>
      <c r="D26" s="1">
        <v>0</v>
      </c>
      <c r="E26" s="191">
        <f>'Interventions cost'!D26+'Interventions cost'!E26+'Interventions cost'!F26+'Interventions cost'!G26</f>
        <v>238664259.2068556</v>
      </c>
      <c r="F26" s="192">
        <f>'Interventions cost'!X26+'Interventions cost'!Y26+'Interventions cost'!Z26+'Interventions cost'!AA26</f>
        <v>3039942857.1998258</v>
      </c>
      <c r="G26" s="240">
        <f>'Interventions cost'!H26+'Interventions cost'!I26+'Interventions cost'!J26+'Interventions cost'!K26</f>
        <v>40227795.724683091</v>
      </c>
      <c r="H26" s="192">
        <f>'Interventions cost'!AB26+'Interventions cost'!AC26+'Interventions cost'!AD26+'Interventions cost'!AE26</f>
        <v>512394275.87753057</v>
      </c>
      <c r="I26" s="240">
        <f>'Interventions cost'!L26+'Interventions cost'!M26+'Interventions cost'!N26+'Interventions cost'!O26</f>
        <v>48901529.765750751</v>
      </c>
      <c r="J26" s="192">
        <f>'Interventions cost'!AF26+'Interventions cost'!AG26+'Interventions cost'!AH26+'Interventions cost'!AI26</f>
        <v>622874395.23441017</v>
      </c>
      <c r="K26" s="240">
        <f>'Interventions cost'!P26+'Interventions cost'!Q26+'Interventions cost'!R26+'Interventions cost'!S26</f>
        <v>119431279.48039035</v>
      </c>
      <c r="L26" s="192">
        <f>'Interventions cost'!AJ26+'Interventions cost'!AK26+'Interventions cost'!AL26+'Interventions cost'!AM26</f>
        <v>1521234332.2339394</v>
      </c>
      <c r="M26" s="240">
        <f>'Interventions cost'!T26+'Interventions cost'!U26+'Interventions cost'!V26+'Interventions cost'!W26</f>
        <v>3879572.2375769815</v>
      </c>
      <c r="N26" s="192">
        <f>'Interventions cost'!AN26+'Interventions cost'!AO26+'Interventions cost'!AP26+'Interventions cost'!AQ26</f>
        <v>49415350.047830366</v>
      </c>
      <c r="O26" s="240">
        <f>'Interventions cost'!AR26+'Interventions cost'!AS26+'Interventions cost'!AT26+'Interventions cost'!AU26</f>
        <v>68809264.746722221</v>
      </c>
      <c r="P26" s="192">
        <f>'Interventions cost'!BL26+'Interventions cost'!BM26+'Interventions cost'!BN26+'Interventions cost'!BO26</f>
        <v>443874331.38275808</v>
      </c>
      <c r="Q26" s="240">
        <f>'Interventions cost'!AV26+'Interventions cost'!AW26+'Interventions cost'!AX26+'Interventions cost'!AY26</f>
        <v>39418609.284019515</v>
      </c>
      <c r="R26" s="192">
        <f>'Interventions cost'!BP26+'Interventions cost'!BQ26+'Interventions cost'!BR26+'Interventions cost'!BS26</f>
        <v>254281293.43317562</v>
      </c>
      <c r="S26" s="240">
        <f>'Interventions cost'!AZ26+'Interventions cost'!BA26+'Interventions cost'!BB26+'Interventions cost'!BC26</f>
        <v>16303214.502955915</v>
      </c>
      <c r="T26" s="192">
        <f>'Interventions cost'!BT26+'Interventions cost'!BU26+'Interventions cost'!BV26+'Interventions cost'!BW26</f>
        <v>105168663.89324355</v>
      </c>
      <c r="U26" s="240">
        <f>'Interventions cost'!BD26+'Interventions cost'!BE26+'Interventions cost'!BF26+'Interventions cost'!BG26</f>
        <v>13950016.981547169</v>
      </c>
      <c r="V26" s="192">
        <f>'Interventions cost'!BX26+'Interventions cost'!BY26+'Interventions cost'!BZ26+'Interventions cost'!CA26</f>
        <v>89988673.520266503</v>
      </c>
      <c r="W26" s="240">
        <f>'Interventions cost'!BH26+'Interventions cost'!BI26+'Interventions cost'!BJ26+'Interventions cost'!BK26</f>
        <v>830839.6520985493</v>
      </c>
      <c r="X26" s="240">
        <f>'Interventions cost'!CB26+'Interventions cost'!CC26+'Interventions cost'!CD26+'Interventions cost'!CE26</f>
        <v>5359574.7087109275</v>
      </c>
      <c r="Y26" s="242">
        <f>'Interventions cost'!CF26+'Interventions cost'!CG26+'Interventions cost'!CH26+'Interventions cost'!CI26</f>
        <v>60497508.989276007</v>
      </c>
      <c r="Z26" s="192">
        <f>'Interventions cost'!CJ26+'Interventions cost'!CK26+'Interventions cost'!CL26+'Interventions cost'!CM26</f>
        <v>390256914.55621105</v>
      </c>
      <c r="AA26" s="196">
        <f>'Food volume'!Y27+'Food volume'!Z27+'Food volume'!AA27+'Food volume'!AB27</f>
        <v>68189788.34481588</v>
      </c>
      <c r="AB26" s="178">
        <f>'Food volume'!AC27+'Food volume'!AD27+'Food volume'!AE27+'Food volume'!AF27</f>
        <v>11493655.921338024</v>
      </c>
      <c r="AC26" s="178">
        <f>'Food volume'!AG27+'Food volume'!AH27+'Food volume'!AI27+'Food volume'!AJ27</f>
        <v>13971865.64735736</v>
      </c>
      <c r="AD26" s="178">
        <f>'Food volume'!AK27+'Food volume'!AL27+'Food volume'!AM27+'Food volume'!AN27</f>
        <v>34123222.708682962</v>
      </c>
      <c r="AE26" s="178">
        <f>'Food volume'!AO27+'Food volume'!AP27+'Food volume'!AQ27+'Food volume'!AR27</f>
        <v>1108449.2107362803</v>
      </c>
      <c r="AF26" s="118">
        <f>SUM('Food volume'!AS27:AV27)</f>
        <v>19659789.927634921</v>
      </c>
      <c r="AG26" s="196">
        <f>'Food volume'!AW27+'Food volume'!AX27+'Food volume'!AY27+'Food volume'!AZ27</f>
        <v>11262459.795434147</v>
      </c>
      <c r="AH26" s="250">
        <f>'Food volume'!BA27+'Food volume'!BB27+'Food volume'!BC27+'Food volume'!BD27</f>
        <v>4658061.286558833</v>
      </c>
      <c r="AI26" s="250">
        <f>'Food volume'!BE27+'Food volume'!BF27+'Food volume'!BG27+'Food volume'!BH27</f>
        <v>3985719.1375849056</v>
      </c>
      <c r="AJ26" s="247">
        <f>'Food volume'!BI27+'Food volume'!BJ27+'Food volume'!BK27+'Food volume'!BL27</f>
        <v>237382.7577424426</v>
      </c>
      <c r="AK26" s="250">
        <f>'Food volume'!BM27+'Food volume'!BN27+'Food volume'!BO27+'Food volume'!BP27</f>
        <v>17285002.568364576</v>
      </c>
      <c r="AL26" s="220"/>
    </row>
    <row r="27" spans="1:38">
      <c r="A27" s="9">
        <v>26</v>
      </c>
      <c r="B27" s="1" t="s">
        <v>439</v>
      </c>
      <c r="C27" s="1" t="s">
        <v>440</v>
      </c>
      <c r="D27" s="1">
        <v>0</v>
      </c>
      <c r="E27" s="191">
        <f>'Interventions cost'!D27+'Interventions cost'!E27+'Interventions cost'!F27+'Interventions cost'!G27</f>
        <v>59432820.508327335</v>
      </c>
      <c r="F27" s="192">
        <f>'Interventions cost'!X27+'Interventions cost'!Y27+'Interventions cost'!Z27+'Interventions cost'!AA27</f>
        <v>582619310.58528197</v>
      </c>
      <c r="G27" s="240">
        <f>'Interventions cost'!H27+'Interventions cost'!I27+'Interventions cost'!J27+'Interventions cost'!K27</f>
        <v>15418834.293333182</v>
      </c>
      <c r="H27" s="192">
        <f>'Interventions cost'!AB27+'Interventions cost'!AC27+'Interventions cost'!AD27+'Interventions cost'!AE27</f>
        <v>151150669.43107301</v>
      </c>
      <c r="I27" s="240">
        <f>'Interventions cost'!L27+'Interventions cost'!M27+'Interventions cost'!N27+'Interventions cost'!O27</f>
        <v>13519360.373198289</v>
      </c>
      <c r="J27" s="192">
        <f>'Interventions cost'!AF27+'Interventions cost'!AG27+'Interventions cost'!AH27+'Interventions cost'!AI27</f>
        <v>132530146.6902979</v>
      </c>
      <c r="K27" s="240">
        <f>'Interventions cost'!P27+'Interventions cost'!Q27+'Interventions cost'!R27+'Interventions cost'!S27</f>
        <v>28891377.001101933</v>
      </c>
      <c r="L27" s="192">
        <f>'Interventions cost'!AJ27+'Interventions cost'!AK27+'Interventions cost'!AL27+'Interventions cost'!AM27</f>
        <v>283221863.04254222</v>
      </c>
      <c r="M27" s="240">
        <f>'Interventions cost'!T27+'Interventions cost'!U27+'Interventions cost'!V27+'Interventions cost'!W27</f>
        <v>1692740.1850922122</v>
      </c>
      <c r="N27" s="192">
        <f>'Interventions cost'!AN27+'Interventions cost'!AO27+'Interventions cost'!AP27+'Interventions cost'!AQ27</f>
        <v>16593914.123598497</v>
      </c>
      <c r="O27" s="240">
        <f>'Interventions cost'!AR27+'Interventions cost'!AS27+'Interventions cost'!AT27+'Interventions cost'!AU27</f>
        <v>16532290.907570207</v>
      </c>
      <c r="P27" s="192">
        <f>'Interventions cost'!BL27+'Interventions cost'!BM27+'Interventions cost'!BN27+'Interventions cost'!BO27</f>
        <v>84117864.017361969</v>
      </c>
      <c r="Q27" s="240">
        <f>'Interventions cost'!AV27+'Interventions cost'!AW27+'Interventions cost'!AX27+'Interventions cost'!AY27</f>
        <v>11675639.864904933</v>
      </c>
      <c r="R27" s="192">
        <f>'Interventions cost'!BP27+'Interventions cost'!BQ27+'Interventions cost'!BR27+'Interventions cost'!BS27</f>
        <v>59406762.920076735</v>
      </c>
      <c r="S27" s="240">
        <f>'Interventions cost'!AZ27+'Interventions cost'!BA27+'Interventions cost'!BB27+'Interventions cost'!BC27</f>
        <v>3060188.138909799</v>
      </c>
      <c r="T27" s="192">
        <f>'Interventions cost'!BT27+'Interventions cost'!BU27+'Interventions cost'!BV27+'Interventions cost'!BW27</f>
        <v>15570527.471089097</v>
      </c>
      <c r="U27" s="240">
        <f>'Interventions cost'!BD27+'Interventions cost'!BE27+'Interventions cost'!BF27+'Interventions cost'!BG27</f>
        <v>2976038.789638096</v>
      </c>
      <c r="V27" s="192">
        <f>'Interventions cost'!BX27+'Interventions cost'!BY27+'Interventions cost'!BZ27+'Interventions cost'!CA27</f>
        <v>15142367.601488367</v>
      </c>
      <c r="W27" s="240">
        <f>'Interventions cost'!BH27+'Interventions cost'!BI27+'Interventions cost'!BJ27+'Interventions cost'!BK27</f>
        <v>290761.55659422255</v>
      </c>
      <c r="X27" s="240">
        <f>'Interventions cost'!CB27+'Interventions cost'!CC27+'Interventions cost'!CD27+'Interventions cost'!CE27</f>
        <v>1479422.3750242484</v>
      </c>
      <c r="Y27" s="242">
        <f>'Interventions cost'!CF27+'Interventions cost'!CG27+'Interventions cost'!CH27+'Interventions cost'!CI27</f>
        <v>12259223.949177139</v>
      </c>
      <c r="Z27" s="192">
        <f>'Interventions cost'!CJ27+'Interventions cost'!CK27+'Interventions cost'!CL27+'Interventions cost'!CM27</f>
        <v>62376094.086456567</v>
      </c>
      <c r="AA27" s="196">
        <f>'Food volume'!Y28+'Food volume'!Z28+'Food volume'!AA28+'Food volume'!AB28</f>
        <v>16980805.859522097</v>
      </c>
      <c r="AB27" s="178">
        <f>'Food volume'!AC28+'Food volume'!AD28+'Food volume'!AE28+'Food volume'!AF28</f>
        <v>4405381.2266666228</v>
      </c>
      <c r="AC27" s="178">
        <f>'Food volume'!AG28+'Food volume'!AH28+'Food volume'!AI28+'Food volume'!AJ28</f>
        <v>3862674.3923423681</v>
      </c>
      <c r="AD27" s="178">
        <f>'Food volume'!AK28+'Food volume'!AL28+'Food volume'!AM28+'Food volume'!AN28</f>
        <v>8254679.143171981</v>
      </c>
      <c r="AE27" s="178">
        <f>'Food volume'!AO28+'Food volume'!AP28+'Food volume'!AQ28+'Food volume'!AR28</f>
        <v>483640.05288348929</v>
      </c>
      <c r="AF27" s="118">
        <f>SUM('Food volume'!AS28:AV28)</f>
        <v>4723511.6878772024</v>
      </c>
      <c r="AG27" s="196">
        <f>'Food volume'!AW28+'Food volume'!AX28+'Food volume'!AY28+'Food volume'!AZ28</f>
        <v>3335897.1042585522</v>
      </c>
      <c r="AH27" s="250">
        <f>'Food volume'!BA28+'Food volume'!BB28+'Food volume'!BC28+'Food volume'!BD28</f>
        <v>874339.46825994249</v>
      </c>
      <c r="AI27" s="250">
        <f>'Food volume'!BE28+'Food volume'!BF28+'Food volume'!BG28+'Food volume'!BH28</f>
        <v>850296.79703945597</v>
      </c>
      <c r="AJ27" s="247">
        <f>'Food volume'!BI28+'Food volume'!BJ28+'Food volume'!BK28+'Food volume'!BL28</f>
        <v>83074.730455492157</v>
      </c>
      <c r="AK27" s="250">
        <f>'Food volume'!BM28+'Food volume'!BN28+'Food volume'!BO28+'Food volume'!BP28</f>
        <v>3502635.4140506107</v>
      </c>
      <c r="AL27" s="220"/>
    </row>
    <row r="28" spans="1:38">
      <c r="A28" s="9">
        <v>27</v>
      </c>
      <c r="B28" s="1" t="s">
        <v>444</v>
      </c>
      <c r="C28" s="1" t="s">
        <v>445</v>
      </c>
      <c r="D28" s="1">
        <v>0</v>
      </c>
      <c r="E28" s="191">
        <f>'Interventions cost'!D28+'Interventions cost'!E28+'Interventions cost'!F28+'Interventions cost'!G28</f>
        <v>42398427.230466537</v>
      </c>
      <c r="F28" s="192">
        <f>'Interventions cost'!X28+'Interventions cost'!Y28+'Interventions cost'!Z28+'Interventions cost'!AA28</f>
        <v>788864239.81571746</v>
      </c>
      <c r="G28" s="240">
        <f>'Interventions cost'!H28+'Interventions cost'!I28+'Interventions cost'!J28+'Interventions cost'!K28</f>
        <v>10539928.395033538</v>
      </c>
      <c r="H28" s="192">
        <f>'Interventions cost'!AB28+'Interventions cost'!AC28+'Interventions cost'!AD28+'Interventions cost'!AE28</f>
        <v>196105684.67232114</v>
      </c>
      <c r="I28" s="240">
        <f>'Interventions cost'!L28+'Interventions cost'!M28+'Interventions cost'!N28+'Interventions cost'!O28</f>
        <v>9729121.8257949818</v>
      </c>
      <c r="J28" s="192">
        <f>'Interventions cost'!AF28+'Interventions cost'!AG28+'Interventions cost'!AH28+'Interventions cost'!AI28</f>
        <v>181019834.80333477</v>
      </c>
      <c r="K28" s="240">
        <f>'Interventions cost'!P28+'Interventions cost'!Q28+'Interventions cost'!R28+'Interventions cost'!S28</f>
        <v>25615485.999807745</v>
      </c>
      <c r="L28" s="192">
        <f>'Interventions cost'!AJ28+'Interventions cost'!AK28+'Interventions cost'!AL28+'Interventions cost'!AM28</f>
        <v>476601190.43821752</v>
      </c>
      <c r="M28" s="240">
        <f>'Interventions cost'!T28+'Interventions cost'!U28+'Interventions cost'!V28+'Interventions cost'!W28</f>
        <v>882474.00531136594</v>
      </c>
      <c r="N28" s="192">
        <f>'Interventions cost'!AN28+'Interventions cost'!AO28+'Interventions cost'!AP28+'Interventions cost'!AQ28</f>
        <v>16419292.667932808</v>
      </c>
      <c r="O28" s="240">
        <f>'Interventions cost'!AR28+'Interventions cost'!AS28+'Interventions cost'!AT28+'Interventions cost'!AU28</f>
        <v>10284843.6849366</v>
      </c>
      <c r="P28" s="192">
        <f>'Interventions cost'!BL28+'Interventions cost'!BM28+'Interventions cost'!BN28+'Interventions cost'!BO28</f>
        <v>94375676.428845063</v>
      </c>
      <c r="Q28" s="240">
        <f>'Interventions cost'!AV28+'Interventions cost'!AW28+'Interventions cost'!AX28+'Interventions cost'!AY28</f>
        <v>6674012.5894670393</v>
      </c>
      <c r="R28" s="192">
        <f>'Interventions cost'!BP28+'Interventions cost'!BQ28+'Interventions cost'!BR28+'Interventions cost'!BS28</f>
        <v>61242005.413081042</v>
      </c>
      <c r="S28" s="240">
        <f>'Interventions cost'!AZ28+'Interventions cost'!BA28+'Interventions cost'!BB28+'Interventions cost'!BC28</f>
        <v>2407407.3214063211</v>
      </c>
      <c r="T28" s="192">
        <f>'Interventions cost'!BT28+'Interventions cost'!BU28+'Interventions cost'!BV28+'Interventions cost'!BW28</f>
        <v>22090826.205772921</v>
      </c>
      <c r="U28" s="240">
        <f>'Interventions cost'!BD28+'Interventions cost'!BE28+'Interventions cost'!BF28+'Interventions cost'!BG28</f>
        <v>3152843.884179214</v>
      </c>
      <c r="V28" s="192">
        <f>'Interventions cost'!BX28+'Interventions cost'!BY28+'Interventions cost'!BZ28+'Interventions cost'!CA28</f>
        <v>28931093.496322289</v>
      </c>
      <c r="W28" s="240">
        <f>'Interventions cost'!BH28+'Interventions cost'!BI28+'Interventions cost'!BJ28+'Interventions cost'!BK28</f>
        <v>138097.5551940024</v>
      </c>
      <c r="X28" s="240">
        <f>'Interventions cost'!CB28+'Interventions cost'!CC28+'Interventions cost'!CD28+'Interventions cost'!CE28</f>
        <v>1267209.3600889845</v>
      </c>
      <c r="Y28" s="242">
        <f>'Interventions cost'!CF28+'Interventions cost'!CG28+'Interventions cost'!CH28+'Interventions cost'!CI28</f>
        <v>13154745.839174761</v>
      </c>
      <c r="Z28" s="192">
        <f>'Interventions cost'!CJ28+'Interventions cost'!CK28+'Interventions cost'!CL28+'Interventions cost'!CM28</f>
        <v>120710442.94430676</v>
      </c>
      <c r="AA28" s="196">
        <f>'Food volume'!Y29+'Food volume'!Z29+'Food volume'!AA29+'Food volume'!AB29</f>
        <v>12113836.351561867</v>
      </c>
      <c r="AB28" s="178">
        <f>'Food volume'!AC29+'Food volume'!AD29+'Food volume'!AE29+'Food volume'!AF29</f>
        <v>3011408.1128667248</v>
      </c>
      <c r="AC28" s="178">
        <f>'Food volume'!AG29+'Food volume'!AH29+'Food volume'!AI29+'Food volume'!AJ29</f>
        <v>2779749.0930842808</v>
      </c>
      <c r="AD28" s="178">
        <f>'Food volume'!AK29+'Food volume'!AL29+'Food volume'!AM29+'Food volume'!AN29</f>
        <v>7318710.285659356</v>
      </c>
      <c r="AE28" s="178">
        <f>'Food volume'!AO29+'Food volume'!AP29+'Food volume'!AQ29+'Food volume'!AR29</f>
        <v>252135.43008896167</v>
      </c>
      <c r="AF28" s="118">
        <f>SUM('Food volume'!AS29:AV29)</f>
        <v>2938526.7671247427</v>
      </c>
      <c r="AG28" s="196">
        <f>'Food volume'!AW29+'Food volume'!AX29+'Food volume'!AY29+'Food volume'!AZ29</f>
        <v>1906860.7398477253</v>
      </c>
      <c r="AH28" s="250">
        <f>'Food volume'!BA29+'Food volume'!BB29+'Food volume'!BC29+'Food volume'!BD29</f>
        <v>687830.66325894895</v>
      </c>
      <c r="AI28" s="250">
        <f>'Food volume'!BE29+'Food volume'!BF29+'Food volume'!BG29+'Food volume'!BH29</f>
        <v>900812.53833691822</v>
      </c>
      <c r="AJ28" s="247">
        <f>'Food volume'!BI29+'Food volume'!BJ29+'Food volume'!BK29+'Food volume'!BL29</f>
        <v>39456.444341143535</v>
      </c>
      <c r="AK28" s="250">
        <f>'Food volume'!BM29+'Food volume'!BN29+'Food volume'!BO29+'Food volume'!BP29</f>
        <v>3758498.8111927891</v>
      </c>
      <c r="AL28" s="220"/>
    </row>
    <row r="29" spans="1:38">
      <c r="A29" s="9">
        <v>28</v>
      </c>
      <c r="B29" s="1" t="s">
        <v>449</v>
      </c>
      <c r="C29" s="1" t="s">
        <v>450</v>
      </c>
      <c r="D29" s="1">
        <v>0</v>
      </c>
      <c r="E29" s="191">
        <f>'Interventions cost'!D29+'Interventions cost'!E29+'Interventions cost'!F29+'Interventions cost'!G29</f>
        <v>82536852.14909184</v>
      </c>
      <c r="F29" s="192">
        <f>'Interventions cost'!X29+'Interventions cost'!Y29+'Interventions cost'!Z29+'Interventions cost'!AA29</f>
        <v>1535678924.443423</v>
      </c>
      <c r="G29" s="240">
        <f>'Interventions cost'!H29+'Interventions cost'!I29+'Interventions cost'!J29+'Interventions cost'!K29</f>
        <v>18583753.631100632</v>
      </c>
      <c r="H29" s="192">
        <f>'Interventions cost'!AB29+'Interventions cost'!AC29+'Interventions cost'!AD29+'Interventions cost'!AE29</f>
        <v>345768926.79137856</v>
      </c>
      <c r="I29" s="240">
        <f>'Interventions cost'!L29+'Interventions cost'!M29+'Interventions cost'!N29+'Interventions cost'!O29</f>
        <v>10298187.815152418</v>
      </c>
      <c r="J29" s="192">
        <f>'Interventions cost'!AF29+'Interventions cost'!AG29+'Interventions cost'!AH29+'Interventions cost'!AI29</f>
        <v>191607864.55876052</v>
      </c>
      <c r="K29" s="240">
        <f>'Interventions cost'!P29+'Interventions cost'!Q29+'Interventions cost'!R29+'Interventions cost'!S29</f>
        <v>46861406.135736845</v>
      </c>
      <c r="L29" s="192">
        <f>'Interventions cost'!AJ29+'Interventions cost'!AK29+'Interventions cost'!AL29+'Interventions cost'!AM29</f>
        <v>871902330.88174081</v>
      </c>
      <c r="M29" s="240">
        <f>'Interventions cost'!T29+'Interventions cost'!U29+'Interventions cost'!V29+'Interventions cost'!W29</f>
        <v>782998.954413675</v>
      </c>
      <c r="N29" s="192">
        <f>'Interventions cost'!AN29+'Interventions cost'!AO29+'Interventions cost'!AP29+'Interventions cost'!AQ29</f>
        <v>14568461.976018645</v>
      </c>
      <c r="O29" s="240">
        <f>'Interventions cost'!AR29+'Interventions cost'!AS29+'Interventions cost'!AT29+'Interventions cost'!AU29</f>
        <v>23998931.451814409</v>
      </c>
      <c r="P29" s="192">
        <f>'Interventions cost'!BL29+'Interventions cost'!BM29+'Interventions cost'!BN29+'Interventions cost'!BO29</f>
        <v>220218746.99483407</v>
      </c>
      <c r="Q29" s="240">
        <f>'Interventions cost'!AV29+'Interventions cost'!AW29+'Interventions cost'!AX29+'Interventions cost'!AY29</f>
        <v>15181920.86421999</v>
      </c>
      <c r="R29" s="192">
        <f>'Interventions cost'!BP29+'Interventions cost'!BQ29+'Interventions cost'!BR29+'Interventions cost'!BS29</f>
        <v>139312185.47817823</v>
      </c>
      <c r="S29" s="240">
        <f>'Interventions cost'!AZ29+'Interventions cost'!BA29+'Interventions cost'!BB29+'Interventions cost'!BC29</f>
        <v>1547840.0885347826</v>
      </c>
      <c r="T29" s="192">
        <f>'Interventions cost'!BT29+'Interventions cost'!BU29+'Interventions cost'!BV29+'Interventions cost'!BW29</f>
        <v>14203274.238684166</v>
      </c>
      <c r="U29" s="240">
        <f>'Interventions cost'!BD29+'Interventions cost'!BE29+'Interventions cost'!BF29+'Interventions cost'!BG29</f>
        <v>3461293.0272893701</v>
      </c>
      <c r="V29" s="192">
        <f>'Interventions cost'!BX29+'Interventions cost'!BY29+'Interventions cost'!BZ29+'Interventions cost'!CA29</f>
        <v>31761481.338536546</v>
      </c>
      <c r="W29" s="240">
        <f>'Interventions cost'!BH29+'Interventions cost'!BI29+'Interventions cost'!BJ29+'Interventions cost'!BK29</f>
        <v>216294.54931391042</v>
      </c>
      <c r="X29" s="240">
        <f>'Interventions cost'!CB29+'Interventions cost'!CC29+'Interventions cost'!CD29+'Interventions cost'!CE29</f>
        <v>1984759.8101339855</v>
      </c>
      <c r="Y29" s="242">
        <f>'Interventions cost'!CF29+'Interventions cost'!CG29+'Interventions cost'!CH29+'Interventions cost'!CI29</f>
        <v>20768201.433618892</v>
      </c>
      <c r="Z29" s="192">
        <f>'Interventions cost'!CJ29+'Interventions cost'!CK29+'Interventions cost'!CL29+'Interventions cost'!CM29</f>
        <v>190572955.5597398</v>
      </c>
      <c r="AA29" s="196">
        <f>'Food volume'!Y30+'Food volume'!Z30+'Food volume'!AA30+'Food volume'!AB30</f>
        <v>23581957.756883383</v>
      </c>
      <c r="AB29" s="178">
        <f>'Food volume'!AC30+'Food volume'!AD30+'Food volume'!AE30+'Food volume'!AF30</f>
        <v>5309643.8946001809</v>
      </c>
      <c r="AC29" s="178">
        <f>'Food volume'!AG30+'Food volume'!AH30+'Food volume'!AI30+'Food volume'!AJ30</f>
        <v>2942339.3757578335</v>
      </c>
      <c r="AD29" s="178">
        <f>'Food volume'!AK30+'Food volume'!AL30+'Food volume'!AM30+'Food volume'!AN30</f>
        <v>13388973.181639101</v>
      </c>
      <c r="AE29" s="178">
        <f>'Food volume'!AO30+'Food volume'!AP30+'Food volume'!AQ30+'Food volume'!AR30</f>
        <v>223713.98697533572</v>
      </c>
      <c r="AF29" s="118">
        <f>SUM('Food volume'!AS30:AV30)</f>
        <v>6856837.5576612595</v>
      </c>
      <c r="AG29" s="196">
        <f>'Food volume'!AW30+'Food volume'!AX30+'Food volume'!AY30+'Food volume'!AZ30</f>
        <v>4337691.6754914252</v>
      </c>
      <c r="AH29" s="250">
        <f>'Food volume'!BA30+'Food volume'!BB30+'Food volume'!BC30+'Food volume'!BD30</f>
        <v>442240.02529565222</v>
      </c>
      <c r="AI29" s="250">
        <f>'Food volume'!BE30+'Food volume'!BF30+'Food volume'!BG30+'Food volume'!BH30</f>
        <v>988940.86493982014</v>
      </c>
      <c r="AJ29" s="247">
        <f>'Food volume'!BI30+'Food volume'!BJ30+'Food volume'!BK30+'Food volume'!BL30</f>
        <v>61798.442661117268</v>
      </c>
      <c r="AK29" s="250">
        <f>'Food volume'!BM30+'Food volume'!BN30+'Food volume'!BO30+'Food volume'!BP30</f>
        <v>5933771.838176826</v>
      </c>
      <c r="AL29" s="220"/>
    </row>
    <row r="30" spans="1:38">
      <c r="A30" s="9">
        <v>29</v>
      </c>
      <c r="B30" s="1" t="s">
        <v>454</v>
      </c>
      <c r="C30" s="1" t="s">
        <v>455</v>
      </c>
      <c r="D30" s="1">
        <v>0</v>
      </c>
      <c r="E30" s="191">
        <f>'Interventions cost'!D30+'Interventions cost'!E30+'Interventions cost'!F30+'Interventions cost'!G30</f>
        <v>72481576.013679445</v>
      </c>
      <c r="F30" s="192">
        <f>'Interventions cost'!X30+'Interventions cost'!Y30+'Interventions cost'!Z30+'Interventions cost'!AA30</f>
        <v>710536122.7355473</v>
      </c>
      <c r="G30" s="240">
        <f>'Interventions cost'!H30+'Interventions cost'!I30+'Interventions cost'!J30+'Interventions cost'!K30</f>
        <v>9172385.7915775403</v>
      </c>
      <c r="H30" s="192">
        <f>'Interventions cost'!AB30+'Interventions cost'!AC30+'Interventions cost'!AD30+'Interventions cost'!AE30</f>
        <v>89916800.861947566</v>
      </c>
      <c r="I30" s="240">
        <f>'Interventions cost'!L30+'Interventions cost'!M30+'Interventions cost'!N30+'Interventions cost'!O30</f>
        <v>16725037.34646019</v>
      </c>
      <c r="J30" s="192">
        <f>'Interventions cost'!AF30+'Interventions cost'!AG30+'Interventions cost'!AH30+'Interventions cost'!AI30</f>
        <v>163955364.13996065</v>
      </c>
      <c r="K30" s="240">
        <f>'Interventions cost'!P30+'Interventions cost'!Q30+'Interventions cost'!R30+'Interventions cost'!S30</f>
        <v>37052887.706997849</v>
      </c>
      <c r="L30" s="192">
        <f>'Interventions cost'!AJ30+'Interventions cost'!AK30+'Interventions cost'!AL30+'Interventions cost'!AM30</f>
        <v>363229066.13560808</v>
      </c>
      <c r="M30" s="240">
        <f>'Interventions cost'!T30+'Interventions cost'!U30+'Interventions cost'!V30+'Interventions cost'!W30</f>
        <v>601657.50197232759</v>
      </c>
      <c r="N30" s="192">
        <f>'Interventions cost'!AN30+'Interventions cost'!AO30+'Interventions cost'!AP30+'Interventions cost'!AQ30</f>
        <v>5898042.1257050289</v>
      </c>
      <c r="O30" s="240">
        <f>'Interventions cost'!AR30+'Interventions cost'!AS30+'Interventions cost'!AT30+'Interventions cost'!AU30</f>
        <v>15540784.393675523</v>
      </c>
      <c r="P30" s="192">
        <f>'Interventions cost'!BL30+'Interventions cost'!BM30+'Interventions cost'!BN30+'Interventions cost'!BO30</f>
        <v>79072984.842756405</v>
      </c>
      <c r="Q30" s="240">
        <f>'Interventions cost'!AV30+'Interventions cost'!AW30+'Interventions cost'!AX30+'Interventions cost'!AY30</f>
        <v>10170076.497790758</v>
      </c>
      <c r="R30" s="192">
        <f>'Interventions cost'!BP30+'Interventions cost'!BQ30+'Interventions cost'!BR30+'Interventions cost'!BS30</f>
        <v>51746313.724470049</v>
      </c>
      <c r="S30" s="240">
        <f>'Interventions cost'!AZ30+'Interventions cost'!BA30+'Interventions cost'!BB30+'Interventions cost'!BC30</f>
        <v>4602231.4186760765</v>
      </c>
      <c r="T30" s="192">
        <f>'Interventions cost'!BT30+'Interventions cost'!BU30+'Interventions cost'!BV30+'Interventions cost'!BW30</f>
        <v>23416589.92193009</v>
      </c>
      <c r="U30" s="240">
        <f>'Interventions cost'!BD30+'Interventions cost'!BE30+'Interventions cost'!BF30+'Interventions cost'!BG30</f>
        <v>4032129.7122642281</v>
      </c>
      <c r="V30" s="192">
        <f>'Interventions cost'!BX30+'Interventions cost'!BY30+'Interventions cost'!BZ30+'Interventions cost'!CA30</f>
        <v>20515858.372737549</v>
      </c>
      <c r="W30" s="240">
        <f>'Interventions cost'!BH30+'Interventions cost'!BI30+'Interventions cost'!BJ30+'Interventions cost'!BK30</f>
        <v>135333.38123752928</v>
      </c>
      <c r="X30" s="240">
        <f>'Interventions cost'!CB30+'Interventions cost'!CC30+'Interventions cost'!CD30+'Interventions cost'!CE30</f>
        <v>688589.07840386056</v>
      </c>
      <c r="Y30" s="242">
        <f>'Interventions cost'!CF30+'Interventions cost'!CG30+'Interventions cost'!CH30+'Interventions cost'!CI30</f>
        <v>10603768.459317032</v>
      </c>
      <c r="Z30" s="192">
        <f>'Interventions cost'!CJ30+'Interventions cost'!CK30+'Interventions cost'!CL30+'Interventions cost'!CM30</f>
        <v>53952979.554937944</v>
      </c>
      <c r="AA30" s="196">
        <f>'Food volume'!Y31+'Food volume'!Z31+'Food volume'!AA31+'Food volume'!AB31</f>
        <v>20709021.718194127</v>
      </c>
      <c r="AB30" s="178">
        <f>'Food volume'!AC31+'Food volume'!AD31+'Food volume'!AE31+'Food volume'!AF31</f>
        <v>2620681.6547364402</v>
      </c>
      <c r="AC30" s="178">
        <f>'Food volume'!AG31+'Food volume'!AH31+'Food volume'!AI31+'Food volume'!AJ31</f>
        <v>4778582.0989886262</v>
      </c>
      <c r="AD30" s="178">
        <f>'Food volume'!AK31+'Food volume'!AL31+'Food volume'!AM31+'Food volume'!AN31</f>
        <v>10586539.344856529</v>
      </c>
      <c r="AE30" s="178">
        <f>'Food volume'!AO31+'Food volume'!AP31+'Food volume'!AQ31+'Food volume'!AR31</f>
        <v>171902.14342066503</v>
      </c>
      <c r="AF30" s="118">
        <f>SUM('Food volume'!AS31:AV31)</f>
        <v>4440224.112478721</v>
      </c>
      <c r="AG30" s="196">
        <f>'Food volume'!AW31+'Food volume'!AX31+'Food volume'!AY31+'Food volume'!AZ31</f>
        <v>2905736.1422259314</v>
      </c>
      <c r="AH30" s="250">
        <f>'Food volume'!BA31+'Food volume'!BB31+'Food volume'!BC31+'Food volume'!BD31</f>
        <v>1314923.2624788787</v>
      </c>
      <c r="AI30" s="250">
        <f>'Food volume'!BE31+'Food volume'!BF31+'Food volume'!BG31+'Food volume'!BH31</f>
        <v>1152037.0606469223</v>
      </c>
      <c r="AJ30" s="247">
        <f>'Food volume'!BI31+'Food volume'!BJ31+'Food volume'!BK31+'Food volume'!BL31</f>
        <v>38666.680353579795</v>
      </c>
      <c r="AK30" s="250">
        <f>'Food volume'!BM31+'Food volume'!BN31+'Food volume'!BO31+'Food volume'!BP31</f>
        <v>3029648.1312334379</v>
      </c>
      <c r="AL30" s="220"/>
    </row>
    <row r="31" spans="1:38">
      <c r="A31" s="9">
        <v>30</v>
      </c>
      <c r="B31" s="1" t="s">
        <v>459</v>
      </c>
      <c r="C31" s="1" t="s">
        <v>460</v>
      </c>
      <c r="D31" s="1">
        <v>0</v>
      </c>
      <c r="E31" s="191">
        <f>'Interventions cost'!D31+'Interventions cost'!E31+'Interventions cost'!F31+'Interventions cost'!G31</f>
        <v>246032466.85351229</v>
      </c>
      <c r="F31" s="192">
        <f>'Interventions cost'!X31+'Interventions cost'!Y31+'Interventions cost'!Z31+'Interventions cost'!AA31</f>
        <v>3133794070.1139703</v>
      </c>
      <c r="G31" s="240">
        <f>'Interventions cost'!H31+'Interventions cost'!I31+'Interventions cost'!J31+'Interventions cost'!K31</f>
        <v>87150745.421008825</v>
      </c>
      <c r="H31" s="192">
        <f>'Interventions cost'!AB31+'Interventions cost'!AC31+'Interventions cost'!AD31+'Interventions cost'!AE31</f>
        <v>1110066865.1547556</v>
      </c>
      <c r="I31" s="240">
        <f>'Interventions cost'!L31+'Interventions cost'!M31+'Interventions cost'!N31+'Interventions cost'!O31</f>
        <v>88552869.0275812</v>
      </c>
      <c r="J31" s="192">
        <f>'Interventions cost'!AF31+'Interventions cost'!AG31+'Interventions cost'!AH31+'Interventions cost'!AI31</f>
        <v>1127926161.1250696</v>
      </c>
      <c r="K31" s="240">
        <f>'Interventions cost'!P31+'Interventions cost'!Q31+'Interventions cost'!R31+'Interventions cost'!S31</f>
        <v>196611066.15283585</v>
      </c>
      <c r="L31" s="192">
        <f>'Interventions cost'!AJ31+'Interventions cost'!AK31+'Interventions cost'!AL31+'Interventions cost'!AM31</f>
        <v>2504297912.8254299</v>
      </c>
      <c r="M31" s="240">
        <f>'Interventions cost'!T31+'Interventions cost'!U31+'Interventions cost'!V31+'Interventions cost'!W31</f>
        <v>1521775.9816523769</v>
      </c>
      <c r="N31" s="192">
        <f>'Interventions cost'!AN31+'Interventions cost'!AO31+'Interventions cost'!AP31+'Interventions cost'!AQ31</f>
        <v>19383346.46777942</v>
      </c>
      <c r="O31" s="240">
        <f>'Interventions cost'!AR31+'Interventions cost'!AS31+'Interventions cost'!AT31+'Interventions cost'!AU31</f>
        <v>49150847.664222024</v>
      </c>
      <c r="P31" s="192">
        <f>'Interventions cost'!BL31+'Interventions cost'!BM31+'Interventions cost'!BN31+'Interventions cost'!BO31</f>
        <v>317061949.78477234</v>
      </c>
      <c r="Q31" s="240">
        <f>'Interventions cost'!AV31+'Interventions cost'!AW31+'Interventions cost'!AX31+'Interventions cost'!AY31</f>
        <v>44590225.984678455</v>
      </c>
      <c r="R31" s="192">
        <f>'Interventions cost'!BP31+'Interventions cost'!BQ31+'Interventions cost'!BR31+'Interventions cost'!BS31</f>
        <v>287642322.84720147</v>
      </c>
      <c r="S31" s="240">
        <f>'Interventions cost'!AZ31+'Interventions cost'!BA31+'Interventions cost'!BB31+'Interventions cost'!BC31</f>
        <v>8304131.7848495468</v>
      </c>
      <c r="T31" s="192">
        <f>'Interventions cost'!BT31+'Interventions cost'!BU31+'Interventions cost'!BV31+'Interventions cost'!BW31</f>
        <v>53568236.156599626</v>
      </c>
      <c r="U31" s="240">
        <f>'Interventions cost'!BD31+'Interventions cost'!BE31+'Interventions cost'!BF31+'Interventions cost'!BG31</f>
        <v>14368087.722562635</v>
      </c>
      <c r="V31" s="192">
        <f>'Interventions cost'!BX31+'Interventions cost'!BY31+'Interventions cost'!BZ31+'Interventions cost'!CA31</f>
        <v>92685561.378638417</v>
      </c>
      <c r="W31" s="240">
        <f>'Interventions cost'!BH31+'Interventions cost'!BI31+'Interventions cost'!BJ31+'Interventions cost'!BK31</f>
        <v>187041.13584862431</v>
      </c>
      <c r="X31" s="240">
        <f>'Interventions cost'!CB31+'Interventions cost'!CC31+'Interventions cost'!CD31+'Interventions cost'!CE31</f>
        <v>1206563.6716432809</v>
      </c>
      <c r="Y31" s="242">
        <f>'Interventions cost'!CF31+'Interventions cost'!CG31+'Interventions cost'!CH31+'Interventions cost'!CI31</f>
        <v>71016212.477110922</v>
      </c>
      <c r="Z31" s="192">
        <f>'Interventions cost'!CJ31+'Interventions cost'!CK31+'Interventions cost'!CL31+'Interventions cost'!CM31</f>
        <v>458110894.61052662</v>
      </c>
      <c r="AA31" s="196">
        <f>'Food volume'!Y32+'Food volume'!Z32+'Food volume'!AA32+'Food volume'!AB32</f>
        <v>70294990.529574931</v>
      </c>
      <c r="AB31" s="178">
        <f>'Food volume'!AC32+'Food volume'!AD32+'Food volume'!AE32+'Food volume'!AF32</f>
        <v>24900212.977431092</v>
      </c>
      <c r="AC31" s="178">
        <f>'Food volume'!AG32+'Food volume'!AH32+'Food volume'!AI32+'Food volume'!AJ32</f>
        <v>25300819.722166058</v>
      </c>
      <c r="AD31" s="178">
        <f>'Food volume'!AK32+'Food volume'!AL32+'Food volume'!AM32+'Food volume'!AN32</f>
        <v>56174590.329381667</v>
      </c>
      <c r="AE31" s="178">
        <f>'Food volume'!AO32+'Food volume'!AP32+'Food volume'!AQ32+'Food volume'!AR32</f>
        <v>434793.1376149648</v>
      </c>
      <c r="AF31" s="118">
        <f>SUM('Food volume'!AS32:AV32)</f>
        <v>14043099.332634866</v>
      </c>
      <c r="AG31" s="196">
        <f>'Food volume'!AW32+'Food volume'!AX32+'Food volume'!AY32+'Food volume'!AZ32</f>
        <v>12740064.567050988</v>
      </c>
      <c r="AH31" s="250">
        <f>'Food volume'!BA32+'Food volume'!BB32+'Food volume'!BC32+'Food volume'!BD32</f>
        <v>2372609.0813855845</v>
      </c>
      <c r="AI31" s="250">
        <f>'Food volume'!BE32+'Food volume'!BF32+'Food volume'!BG32+'Food volume'!BH32</f>
        <v>4105167.9207321815</v>
      </c>
      <c r="AJ31" s="247">
        <f>'Food volume'!BI32+'Food volume'!BJ32+'Food volume'!BK32+'Food volume'!BL32</f>
        <v>53440.324528178375</v>
      </c>
      <c r="AK31" s="250">
        <f>'Food volume'!BM32+'Food volume'!BN32+'Food volume'!BO32+'Food volume'!BP32</f>
        <v>20290346.422031693</v>
      </c>
      <c r="AL31" s="220"/>
    </row>
    <row r="32" spans="1:38">
      <c r="A32" s="9">
        <v>31</v>
      </c>
      <c r="B32" s="1" t="s">
        <v>464</v>
      </c>
      <c r="C32" s="1" t="s">
        <v>465</v>
      </c>
      <c r="D32" s="1">
        <v>0</v>
      </c>
      <c r="E32" s="191">
        <f>'Interventions cost'!D32+'Interventions cost'!E32+'Interventions cost'!F32+'Interventions cost'!G32</f>
        <v>97428774.076227784</v>
      </c>
      <c r="F32" s="192">
        <f>'Interventions cost'!X32+'Interventions cost'!Y32+'Interventions cost'!Z32+'Interventions cost'!AA32</f>
        <v>955093241.37675142</v>
      </c>
      <c r="G32" s="240">
        <f>'Interventions cost'!H32+'Interventions cost'!I32+'Interventions cost'!J32+'Interventions cost'!K32</f>
        <v>30734313.238738105</v>
      </c>
      <c r="H32" s="192">
        <f>'Interventions cost'!AB32+'Interventions cost'!AC32+'Interventions cost'!AD32+'Interventions cost'!AE32</f>
        <v>301288147.48000681</v>
      </c>
      <c r="I32" s="240">
        <f>'Interventions cost'!L32+'Interventions cost'!M32+'Interventions cost'!N32+'Interventions cost'!O32</f>
        <v>10981923.649747347</v>
      </c>
      <c r="J32" s="192">
        <f>'Interventions cost'!AF32+'Interventions cost'!AG32+'Interventions cost'!AH32+'Interventions cost'!AI32</f>
        <v>107655681.33889115</v>
      </c>
      <c r="K32" s="240">
        <f>'Interventions cost'!P32+'Interventions cost'!Q32+'Interventions cost'!R32+'Interventions cost'!S32</f>
        <v>32589459.163349163</v>
      </c>
      <c r="L32" s="192">
        <f>'Interventions cost'!AJ32+'Interventions cost'!AK32+'Interventions cost'!AL32+'Interventions cost'!AM32</f>
        <v>319474123.34969568</v>
      </c>
      <c r="M32" s="240">
        <f>'Interventions cost'!T32+'Interventions cost'!U32+'Interventions cost'!V32+'Interventions cost'!W32</f>
        <v>1096097.2828770345</v>
      </c>
      <c r="N32" s="192">
        <f>'Interventions cost'!AN32+'Interventions cost'!AO32+'Interventions cost'!AP32+'Interventions cost'!AQ32</f>
        <v>10745030.066253394</v>
      </c>
      <c r="O32" s="240">
        <f>'Interventions cost'!AR32+'Interventions cost'!AS32+'Interventions cost'!AT32+'Interventions cost'!AU32</f>
        <v>32531302.313799843</v>
      </c>
      <c r="P32" s="192">
        <f>'Interventions cost'!BL32+'Interventions cost'!BM32+'Interventions cost'!BN32+'Interventions cost'!BO32</f>
        <v>165522351.35705659</v>
      </c>
      <c r="Q32" s="240">
        <f>'Interventions cost'!AV32+'Interventions cost'!AW32+'Interventions cost'!AX32+'Interventions cost'!AY32</f>
        <v>28571942.837873198</v>
      </c>
      <c r="R32" s="192">
        <f>'Interventions cost'!BP32+'Interventions cost'!BQ32+'Interventions cost'!BR32+'Interventions cost'!BS32</f>
        <v>145376754.84814537</v>
      </c>
      <c r="S32" s="240">
        <f>'Interventions cost'!AZ32+'Interventions cost'!BA32+'Interventions cost'!BB32+'Interventions cost'!BC32</f>
        <v>7710960.8046371043</v>
      </c>
      <c r="T32" s="192">
        <f>'Interventions cost'!BT32+'Interventions cost'!BU32+'Interventions cost'!BV32+'Interventions cost'!BW32</f>
        <v>39234099.861541972</v>
      </c>
      <c r="U32" s="240">
        <f>'Interventions cost'!BD32+'Interventions cost'!BE32+'Interventions cost'!BF32+'Interventions cost'!BG32</f>
        <v>3618098.825418327</v>
      </c>
      <c r="V32" s="192">
        <f>'Interventions cost'!BX32+'Interventions cost'!BY32+'Interventions cost'!BZ32+'Interventions cost'!CA32</f>
        <v>18409229.954848796</v>
      </c>
      <c r="W32" s="240">
        <f>'Interventions cost'!BH32+'Interventions cost'!BI32+'Interventions cost'!BJ32+'Interventions cost'!BK32</f>
        <v>268196.29126396205</v>
      </c>
      <c r="X32" s="240">
        <f>'Interventions cost'!CB32+'Interventions cost'!CC32+'Interventions cost'!CD32+'Interventions cost'!CE32</f>
        <v>1364608.1649925718</v>
      </c>
      <c r="Y32" s="242">
        <f>'Interventions cost'!CF32+'Interventions cost'!CG32+'Interventions cost'!CH32+'Interventions cost'!CI32</f>
        <v>27946612.134718951</v>
      </c>
      <c r="Z32" s="192">
        <f>'Interventions cost'!CJ32+'Interventions cost'!CK32+'Interventions cost'!CL32+'Interventions cost'!CM32</f>
        <v>142195012.92575249</v>
      </c>
      <c r="AA32" s="196">
        <f>'Food volume'!Y33+'Food volume'!Z33+'Food volume'!AA33+'Food volume'!AB33</f>
        <v>27836792.59320794</v>
      </c>
      <c r="AB32" s="178">
        <f>'Food volume'!AC33+'Food volume'!AD33+'Food volume'!AE33+'Food volume'!AF33</f>
        <v>8781232.3539251741</v>
      </c>
      <c r="AC32" s="178">
        <f>'Food volume'!AG33+'Food volume'!AH33+'Food volume'!AI33+'Food volume'!AJ33</f>
        <v>3137692.4713563849</v>
      </c>
      <c r="AD32" s="178">
        <f>'Food volume'!AK33+'Food volume'!AL33+'Food volume'!AM33+'Food volume'!AN33</f>
        <v>9311274.0466711894</v>
      </c>
      <c r="AE32" s="178">
        <f>'Food volume'!AO33+'Food volume'!AP33+'Food volume'!AQ33+'Food volume'!AR33</f>
        <v>313170.6522505813</v>
      </c>
      <c r="AF32" s="118">
        <f>SUM('Food volume'!AS33:AV33)</f>
        <v>9294657.8039428126</v>
      </c>
      <c r="AG32" s="196">
        <f>'Food volume'!AW33+'Food volume'!AX33+'Food volume'!AY33+'Food volume'!AZ33</f>
        <v>8163412.239392342</v>
      </c>
      <c r="AH32" s="250">
        <f>'Food volume'!BA33+'Food volume'!BB33+'Food volume'!BC33+'Food volume'!BD33</f>
        <v>2203131.658467744</v>
      </c>
      <c r="AI32" s="250">
        <f>'Food volume'!BE33+'Food volume'!BF33+'Food volume'!BG33+'Food volume'!BH33</f>
        <v>1033742.5215480933</v>
      </c>
      <c r="AJ32" s="247">
        <f>'Food volume'!BI33+'Food volume'!BJ33+'Food volume'!BK33+'Food volume'!BL33</f>
        <v>76627.511789703451</v>
      </c>
      <c r="AK32" s="250">
        <f>'Food volume'!BM33+'Food volume'!BN33+'Food volume'!BO33+'Food volume'!BP33</f>
        <v>7984746.3242054153</v>
      </c>
      <c r="AL32" s="220"/>
    </row>
    <row r="33" spans="1:38">
      <c r="A33" s="9">
        <v>32</v>
      </c>
      <c r="B33" s="1" t="s">
        <v>469</v>
      </c>
      <c r="C33" s="1" t="s">
        <v>470</v>
      </c>
      <c r="D33" s="1">
        <v>0</v>
      </c>
      <c r="E33" s="191">
        <f>'Interventions cost'!D33+'Interventions cost'!E33+'Interventions cost'!F33+'Interventions cost'!G33</f>
        <v>1054192172.7909069</v>
      </c>
      <c r="F33" s="192">
        <f>'Interventions cost'!X33+'Interventions cost'!Y33+'Interventions cost'!Z33+'Interventions cost'!AA33</f>
        <v>8478226206.9393644</v>
      </c>
      <c r="G33" s="240">
        <f>'Interventions cost'!H33+'Interventions cost'!I33+'Interventions cost'!J33+'Interventions cost'!K33</f>
        <v>376939081.76551199</v>
      </c>
      <c r="H33" s="192">
        <f>'Interventions cost'!AB33+'Interventions cost'!AC33+'Interventions cost'!AD33+'Interventions cost'!AE33</f>
        <v>3031491680.4811893</v>
      </c>
      <c r="I33" s="240">
        <f>'Interventions cost'!L33+'Interventions cost'!M33+'Interventions cost'!N33+'Interventions cost'!O33</f>
        <v>168260707.80036446</v>
      </c>
      <c r="J33" s="192">
        <f>'Interventions cost'!AF33+'Interventions cost'!AG33+'Interventions cost'!AH33+'Interventions cost'!AI33</f>
        <v>1353218492.1222754</v>
      </c>
      <c r="K33" s="240">
        <f>'Interventions cost'!P33+'Interventions cost'!Q33+'Interventions cost'!R33+'Interventions cost'!S33</f>
        <v>559029891.37747478</v>
      </c>
      <c r="L33" s="192">
        <f>'Interventions cost'!AJ33+'Interventions cost'!AK33+'Interventions cost'!AL33+'Interventions cost'!AM33</f>
        <v>4495937266.3441706</v>
      </c>
      <c r="M33" s="240">
        <f>'Interventions cost'!T33+'Interventions cost'!U33+'Interventions cost'!V33+'Interventions cost'!W33</f>
        <v>6428664.0691834949</v>
      </c>
      <c r="N33" s="192">
        <f>'Interventions cost'!AN33+'Interventions cost'!AO33+'Interventions cost'!AP33+'Interventions cost'!AQ33</f>
        <v>51701833.492716938</v>
      </c>
      <c r="O33" s="240">
        <f>'Interventions cost'!AR33+'Interventions cost'!AS33+'Interventions cost'!AT33+'Interventions cost'!AU33</f>
        <v>292064737.60972667</v>
      </c>
      <c r="P33" s="192">
        <f>'Interventions cost'!BL33+'Interventions cost'!BM33+'Interventions cost'!BN33+'Interventions cost'!BO33</f>
        <v>1247255414.4191015</v>
      </c>
      <c r="Q33" s="240">
        <f>'Interventions cost'!AV33+'Interventions cost'!AW33+'Interventions cost'!AX33+'Interventions cost'!AY33</f>
        <v>280154720.63413441</v>
      </c>
      <c r="R33" s="192">
        <f>'Interventions cost'!BP33+'Interventions cost'!BQ33+'Interventions cost'!BR33+'Interventions cost'!BS33</f>
        <v>1196393974.3144054</v>
      </c>
      <c r="S33" s="240">
        <f>'Interventions cost'!AZ33+'Interventions cost'!BA33+'Interventions cost'!BB33+'Interventions cost'!BC33</f>
        <v>46742211.38852793</v>
      </c>
      <c r="T33" s="192">
        <f>'Interventions cost'!BT33+'Interventions cost'!BU33+'Interventions cost'!BV33+'Interventions cost'!BW33</f>
        <v>199611485.84176803</v>
      </c>
      <c r="U33" s="240">
        <f>'Interventions cost'!BD33+'Interventions cost'!BE33+'Interventions cost'!BF33+'Interventions cost'!BG33</f>
        <v>63048520.498130918</v>
      </c>
      <c r="V33" s="192">
        <f>'Interventions cost'!BX33+'Interventions cost'!BY33+'Interventions cost'!BZ33+'Interventions cost'!CA33</f>
        <v>269247185.42190981</v>
      </c>
      <c r="W33" s="240">
        <f>'Interventions cost'!BH33+'Interventions cost'!BI33+'Interventions cost'!BJ33+'Interventions cost'!BK33</f>
        <v>939547.32664697396</v>
      </c>
      <c r="X33" s="240">
        <f>'Interventions cost'!CB33+'Interventions cost'!CC33+'Interventions cost'!CD33+'Interventions cost'!CE33</f>
        <v>4012314.1871009767</v>
      </c>
      <c r="Y33" s="242">
        <f>'Interventions cost'!CF33+'Interventions cost'!CG33+'Interventions cost'!CH33+'Interventions cost'!CI33</f>
        <v>310642231.6287598</v>
      </c>
      <c r="Z33" s="192">
        <f>'Interventions cost'!CJ33+'Interventions cost'!CK33+'Interventions cost'!CL33+'Interventions cost'!CM33</f>
        <v>1326590154.3511086</v>
      </c>
      <c r="AA33" s="196">
        <f>'Food volume'!Y34+'Food volume'!Z34+'Food volume'!AA34+'Food volume'!AB34</f>
        <v>301197763.65454489</v>
      </c>
      <c r="AB33" s="178">
        <f>'Food volume'!AC34+'Food volume'!AD34+'Food volume'!AE34+'Food volume'!AF34</f>
        <v>107696880.50443199</v>
      </c>
      <c r="AC33" s="178">
        <f>'Food volume'!AG34+'Food volume'!AH34+'Food volume'!AI34+'Food volume'!AJ34</f>
        <v>48074487.942961276</v>
      </c>
      <c r="AD33" s="178">
        <f>'Food volume'!AK34+'Food volume'!AL34+'Food volume'!AM34+'Food volume'!AN34</f>
        <v>159722826.10784993</v>
      </c>
      <c r="AE33" s="178">
        <f>'Food volume'!AO34+'Food volume'!AP34+'Food volume'!AQ34+'Food volume'!AR34</f>
        <v>1836761.1626238558</v>
      </c>
      <c r="AF33" s="118">
        <f>SUM('Food volume'!AS34:AV34)</f>
        <v>83447067.888493329</v>
      </c>
      <c r="AG33" s="196">
        <f>'Food volume'!AW34+'Food volume'!AX34+'Food volume'!AY34+'Food volume'!AZ34</f>
        <v>80044205.895466968</v>
      </c>
      <c r="AH33" s="250">
        <f>'Food volume'!BA34+'Food volume'!BB34+'Food volume'!BC34+'Food volume'!BD34</f>
        <v>13354917.539579408</v>
      </c>
      <c r="AI33" s="250">
        <f>'Food volume'!BE34+'Food volume'!BF34+'Food volume'!BG34+'Food volume'!BH34</f>
        <v>18013862.999465976</v>
      </c>
      <c r="AJ33" s="247">
        <f>'Food volume'!BI34+'Food volume'!BJ34+'Food volume'!BK34+'Food volume'!BL34</f>
        <v>268442.09332770685</v>
      </c>
      <c r="AK33" s="250">
        <f>'Food volume'!BM34+'Food volume'!BN34+'Food volume'!BO34+'Food volume'!BP34</f>
        <v>88754923.322502807</v>
      </c>
      <c r="AL33" s="220"/>
    </row>
    <row r="34" spans="1:38">
      <c r="A34" s="9">
        <v>33</v>
      </c>
      <c r="B34" s="1" t="s">
        <v>474</v>
      </c>
      <c r="C34" s="1" t="s">
        <v>475</v>
      </c>
      <c r="D34" s="1">
        <v>1</v>
      </c>
      <c r="E34" s="191">
        <f>'Interventions cost'!D34+'Interventions cost'!E34+'Interventions cost'!F34+'Interventions cost'!G34</f>
        <v>382219648.17620981</v>
      </c>
      <c r="F34" s="192">
        <f>'Interventions cost'!X34+'Interventions cost'!Y34+'Interventions cost'!Z34+'Interventions cost'!AA34</f>
        <v>4868453673.0220356</v>
      </c>
      <c r="G34" s="240">
        <f>'Interventions cost'!H34+'Interventions cost'!I34+'Interventions cost'!J34+'Interventions cost'!K34</f>
        <v>100474120.43078682</v>
      </c>
      <c r="H34" s="192">
        <f>'Interventions cost'!AB34+'Interventions cost'!AC34+'Interventions cost'!AD34+'Interventions cost'!AE34</f>
        <v>1279770945.8133724</v>
      </c>
      <c r="I34" s="240">
        <f>'Interventions cost'!L34+'Interventions cost'!M34+'Interventions cost'!N34+'Interventions cost'!O34</f>
        <v>80319257.358878136</v>
      </c>
      <c r="J34" s="192">
        <f>'Interventions cost'!AF34+'Interventions cost'!AG34+'Interventions cost'!AH34+'Interventions cost'!AI34</f>
        <v>1023052020.9232171</v>
      </c>
      <c r="K34" s="240">
        <f>'Interventions cost'!P34+'Interventions cost'!Q34+'Interventions cost'!R34+'Interventions cost'!S34</f>
        <v>206012288.33133772</v>
      </c>
      <c r="L34" s="192">
        <f>'Interventions cost'!AJ34+'Interventions cost'!AK34+'Interventions cost'!AL34+'Interventions cost'!AM34</f>
        <v>2624044280.8214655</v>
      </c>
      <c r="M34" s="240">
        <f>'Interventions cost'!T34+'Interventions cost'!U34+'Interventions cost'!V34+'Interventions cost'!W34</f>
        <v>11554418.641037405</v>
      </c>
      <c r="N34" s="192">
        <f>'Interventions cost'!AN34+'Interventions cost'!AO34+'Interventions cost'!AP34+'Interventions cost'!AQ34</f>
        <v>147172318.69424888</v>
      </c>
      <c r="O34" s="240">
        <f>'Interventions cost'!AR34+'Interventions cost'!AS34+'Interventions cost'!AT34+'Interventions cost'!AU34</f>
        <v>114122692.95037803</v>
      </c>
      <c r="P34" s="192">
        <f>'Interventions cost'!BL34+'Interventions cost'!BM34+'Interventions cost'!BN34+'Interventions cost'!BO34</f>
        <v>736181882.12600946</v>
      </c>
      <c r="Q34" s="240">
        <f>'Interventions cost'!AV34+'Interventions cost'!AW34+'Interventions cost'!AX34+'Interventions cost'!AY34</f>
        <v>84673548.985770136</v>
      </c>
      <c r="R34" s="192">
        <f>'Interventions cost'!BP34+'Interventions cost'!BQ34+'Interventions cost'!BR34+'Interventions cost'!BS34</f>
        <v>546211546.95094001</v>
      </c>
      <c r="S34" s="240">
        <f>'Interventions cost'!AZ34+'Interventions cost'!BA34+'Interventions cost'!BB34+'Interventions cost'!BC34</f>
        <v>23068717.772904575</v>
      </c>
      <c r="T34" s="192">
        <f>'Interventions cost'!BT34+'Interventions cost'!BU34+'Interventions cost'!BV34+'Interventions cost'!BW34</f>
        <v>148811525.81699887</v>
      </c>
      <c r="U34" s="240">
        <f>'Interventions cost'!BD34+'Interventions cost'!BE34+'Interventions cost'!BF34+'Interventions cost'!BG34</f>
        <v>30003650.052199066</v>
      </c>
      <c r="V34" s="192">
        <f>'Interventions cost'!BX34+'Interventions cost'!BY34+'Interventions cost'!BZ34+'Interventions cost'!CA34</f>
        <v>193547339.22798553</v>
      </c>
      <c r="W34" s="240">
        <f>'Interventions cost'!BH34+'Interventions cost'!BI34+'Interventions cost'!BJ34+'Interventions cost'!BK34</f>
        <v>1859524.292478469</v>
      </c>
      <c r="X34" s="240">
        <f>'Interventions cost'!CB34+'Interventions cost'!CC34+'Interventions cost'!CD34+'Interventions cost'!CE34</f>
        <v>11995406.505970474</v>
      </c>
      <c r="Y34" s="242">
        <f>'Interventions cost'!CF34+'Interventions cost'!CG34+'Interventions cost'!CH34+'Interventions cost'!CI34</f>
        <v>91833556.490745276</v>
      </c>
      <c r="Z34" s="192">
        <f>'Interventions cost'!CJ34+'Interventions cost'!CK34+'Interventions cost'!CL34+'Interventions cost'!CM34</f>
        <v>592399274.07845247</v>
      </c>
      <c r="AA34" s="196">
        <f>'Food volume'!Y35+'Food volume'!Z35+'Food volume'!AA35+'Food volume'!AB35</f>
        <v>109205613.76463136</v>
      </c>
      <c r="AB34" s="178">
        <f>'Food volume'!AC35+'Food volume'!AD35+'Food volume'!AE35+'Food volume'!AF35</f>
        <v>28706891.551653374</v>
      </c>
      <c r="AC34" s="178">
        <f>'Food volume'!AG35+'Food volume'!AH35+'Food volume'!AI35+'Food volume'!AJ35</f>
        <v>22948359.245393753</v>
      </c>
      <c r="AD34" s="178">
        <f>'Food volume'!AK35+'Food volume'!AL35+'Food volume'!AM35+'Food volume'!AN35</f>
        <v>58860653.808953628</v>
      </c>
      <c r="AE34" s="178">
        <f>'Food volume'!AO35+'Food volume'!AP35+'Food volume'!AQ35+'Food volume'!AR35</f>
        <v>3301262.46886783</v>
      </c>
      <c r="AF34" s="118">
        <f>SUM('Food volume'!AS35:AV35)</f>
        <v>32606483.700108007</v>
      </c>
      <c r="AG34" s="196">
        <f>'Food volume'!AW35+'Food volume'!AX35+'Food volume'!AY35+'Food volume'!AZ35</f>
        <v>24192442.56736289</v>
      </c>
      <c r="AH34" s="250">
        <f>'Food volume'!BA35+'Food volume'!BB35+'Food volume'!BC35+'Food volume'!BD35</f>
        <v>6591062.220829878</v>
      </c>
      <c r="AI34" s="250">
        <f>'Food volume'!BE35+'Food volume'!BF35+'Food volume'!BG35+'Food volume'!BH35</f>
        <v>8572471.4434854463</v>
      </c>
      <c r="AJ34" s="247">
        <f>'Food volume'!BI35+'Food volume'!BJ35+'Food volume'!BK35+'Food volume'!BL35</f>
        <v>531292.65499384829</v>
      </c>
      <c r="AK34" s="250">
        <f>'Food volume'!BM35+'Food volume'!BN35+'Food volume'!BO35+'Food volume'!BP35</f>
        <v>26238158.997355793</v>
      </c>
      <c r="AL34" s="220"/>
    </row>
    <row r="35" spans="1:38">
      <c r="A35" s="9">
        <v>34</v>
      </c>
      <c r="B35" s="1" t="s">
        <v>479</v>
      </c>
      <c r="C35" s="1" t="s">
        <v>480</v>
      </c>
      <c r="D35" s="1">
        <v>0</v>
      </c>
      <c r="E35" s="191">
        <f>'Interventions cost'!D35+'Interventions cost'!E35+'Interventions cost'!F35+'Interventions cost'!G35</f>
        <v>29887602.926054839</v>
      </c>
      <c r="F35" s="192">
        <f>'Interventions cost'!X35+'Interventions cost'!Y35+'Interventions cost'!Z35+'Interventions cost'!AA35</f>
        <v>380687939.34971881</v>
      </c>
      <c r="G35" s="240">
        <f>'Interventions cost'!H35+'Interventions cost'!I35+'Interventions cost'!J35+'Interventions cost'!K35</f>
        <v>3509358.000384626</v>
      </c>
      <c r="H35" s="192">
        <f>'Interventions cost'!AB35+'Interventions cost'!AC35+'Interventions cost'!AD35+'Interventions cost'!AE35</f>
        <v>44699813.126941226</v>
      </c>
      <c r="I35" s="240">
        <f>'Interventions cost'!L35+'Interventions cost'!M35+'Interventions cost'!N35+'Interventions cost'!O35</f>
        <v>3750906.4120628992</v>
      </c>
      <c r="J35" s="192">
        <f>'Interventions cost'!AF35+'Interventions cost'!AG35+'Interventions cost'!AH35+'Interventions cost'!AI35</f>
        <v>47776492.354864083</v>
      </c>
      <c r="K35" s="240">
        <f>'Interventions cost'!P35+'Interventions cost'!Q35+'Interventions cost'!R35+'Interventions cost'!S35</f>
        <v>17069420.483229395</v>
      </c>
      <c r="L35" s="192">
        <f>'Interventions cost'!AJ35+'Interventions cost'!AK35+'Interventions cost'!AL35+'Interventions cost'!AM35</f>
        <v>217418657.68665153</v>
      </c>
      <c r="M35" s="240">
        <f>'Interventions cost'!T35+'Interventions cost'!U35+'Interventions cost'!V35+'Interventions cost'!W35</f>
        <v>940638.71519643278</v>
      </c>
      <c r="N35" s="192">
        <f>'Interventions cost'!AN35+'Interventions cost'!AO35+'Interventions cost'!AP35+'Interventions cost'!AQ35</f>
        <v>11981215.591181735</v>
      </c>
      <c r="O35" s="240">
        <f>'Interventions cost'!AR35+'Interventions cost'!AS35+'Interventions cost'!AT35+'Interventions cost'!AU35</f>
        <v>7868284.5308496803</v>
      </c>
      <c r="P35" s="192">
        <f>'Interventions cost'!BL35+'Interventions cost'!BM35+'Interventions cost'!BN35+'Interventions cost'!BO35</f>
        <v>50756675.690631747</v>
      </c>
      <c r="Q35" s="240">
        <f>'Interventions cost'!AV35+'Interventions cost'!AW35+'Interventions cost'!AX35+'Interventions cost'!AY35</f>
        <v>3875226.2883804338</v>
      </c>
      <c r="R35" s="192">
        <f>'Interventions cost'!BP35+'Interventions cost'!BQ35+'Interventions cost'!BR35+'Interventions cost'!BS35</f>
        <v>24998283.066143222</v>
      </c>
      <c r="S35" s="240">
        <f>'Interventions cost'!AZ35+'Interventions cost'!BA35+'Interventions cost'!BB35+'Interventions cost'!BC35</f>
        <v>1304039.0436571331</v>
      </c>
      <c r="T35" s="192">
        <f>'Interventions cost'!BT35+'Interventions cost'!BU35+'Interventions cost'!BV35+'Interventions cost'!BW35</f>
        <v>8412086.0865308698</v>
      </c>
      <c r="U35" s="240">
        <f>'Interventions cost'!BD35+'Interventions cost'!BE35+'Interventions cost'!BF35+'Interventions cost'!BG35</f>
        <v>2147349.5979833743</v>
      </c>
      <c r="V35" s="192">
        <f>'Interventions cost'!BX35+'Interventions cost'!BY35+'Interventions cost'!BZ35+'Interventions cost'!CA35</f>
        <v>13852108.005489312</v>
      </c>
      <c r="W35" s="240">
        <f>'Interventions cost'!BH35+'Interventions cost'!BI35+'Interventions cost'!BJ35+'Interventions cost'!BK35</f>
        <v>121728.81572318129</v>
      </c>
      <c r="X35" s="240">
        <f>'Interventions cost'!CB35+'Interventions cost'!CC35+'Interventions cost'!CD35+'Interventions cost'!CE35</f>
        <v>785247.40655241383</v>
      </c>
      <c r="Y35" s="242">
        <f>'Interventions cost'!CF35+'Interventions cost'!CG35+'Interventions cost'!CH35+'Interventions cost'!CI35</f>
        <v>5225047.3499262063</v>
      </c>
      <c r="Z35" s="192">
        <f>'Interventions cost'!CJ35+'Interventions cost'!CK35+'Interventions cost'!CL35+'Interventions cost'!CM35</f>
        <v>33705699.478531718</v>
      </c>
      <c r="AA35" s="196">
        <f>'Food volume'!Y36+'Food volume'!Z36+'Food volume'!AA36+'Food volume'!AB36</f>
        <v>8539315.1217299532</v>
      </c>
      <c r="AB35" s="178">
        <f>'Food volume'!AC36+'Food volume'!AD36+'Food volume'!AE36+'Food volume'!AF36</f>
        <v>1002673.7143956076</v>
      </c>
      <c r="AC35" s="178">
        <f>'Food volume'!AG36+'Food volume'!AH36+'Food volume'!AI36+'Food volume'!AJ36</f>
        <v>1071687.5463036853</v>
      </c>
      <c r="AD35" s="178">
        <f>'Food volume'!AK36+'Food volume'!AL36+'Food volume'!AM36+'Food volume'!AN36</f>
        <v>4876977.2809226848</v>
      </c>
      <c r="AE35" s="178">
        <f>'Food volume'!AO36+'Food volume'!AP36+'Food volume'!AQ36+'Food volume'!AR36</f>
        <v>268753.91862755222</v>
      </c>
      <c r="AF35" s="118">
        <f>SUM('Food volume'!AS36:AV36)</f>
        <v>2248081.2945284802</v>
      </c>
      <c r="AG35" s="196">
        <f>'Food volume'!AW36+'Food volume'!AX36+'Food volume'!AY36+'Food volume'!AZ36</f>
        <v>1107207.5109658381</v>
      </c>
      <c r="AH35" s="250">
        <f>'Food volume'!BA36+'Food volume'!BB36+'Food volume'!BC36+'Food volume'!BD36</f>
        <v>372582.58390203805</v>
      </c>
      <c r="AI35" s="250">
        <f>'Food volume'!BE36+'Food volume'!BF36+'Food volume'!BG36+'Food volume'!BH36</f>
        <v>613528.45656667836</v>
      </c>
      <c r="AJ35" s="247">
        <f>'Food volume'!BI36+'Food volume'!BJ36+'Food volume'!BK36+'Food volume'!BL36</f>
        <v>34779.661635194658</v>
      </c>
      <c r="AK35" s="250">
        <f>'Food volume'!BM36+'Food volume'!BN36+'Food volume'!BO36+'Food volume'!BP36</f>
        <v>1492870.6714074875</v>
      </c>
      <c r="AL35" s="220"/>
    </row>
    <row r="36" spans="1:38">
      <c r="A36" s="9">
        <v>35</v>
      </c>
      <c r="B36" s="1" t="s">
        <v>484</v>
      </c>
      <c r="C36" s="1" t="s">
        <v>485</v>
      </c>
      <c r="D36" s="1">
        <v>0</v>
      </c>
      <c r="E36" s="191">
        <f>'Interventions cost'!D36+'Interventions cost'!E36+'Interventions cost'!F36+'Interventions cost'!G36</f>
        <v>837905807.23000097</v>
      </c>
      <c r="F36" s="192">
        <f>'Interventions cost'!X36+'Interventions cost'!Y36+'Interventions cost'!Z36+'Interventions cost'!AA36</f>
        <v>6738766571.3707638</v>
      </c>
      <c r="G36" s="240">
        <f>'Interventions cost'!H36+'Interventions cost'!I36+'Interventions cost'!J36+'Interventions cost'!K36</f>
        <v>231522639.58826542</v>
      </c>
      <c r="H36" s="192">
        <f>'Interventions cost'!AB36+'Interventions cost'!AC36+'Interventions cost'!AD36+'Interventions cost'!AE36</f>
        <v>1861995716.8343911</v>
      </c>
      <c r="I36" s="240">
        <f>'Interventions cost'!L36+'Interventions cost'!M36+'Interventions cost'!N36+'Interventions cost'!O36</f>
        <v>161429801.96722245</v>
      </c>
      <c r="J36" s="192">
        <f>'Interventions cost'!AF36+'Interventions cost'!AG36+'Interventions cost'!AH36+'Interventions cost'!AI36</f>
        <v>1298281672.8719902</v>
      </c>
      <c r="K36" s="240">
        <f>'Interventions cost'!P36+'Interventions cost'!Q36+'Interventions cost'!R36+'Interventions cost'!S36</f>
        <v>458614144.82613552</v>
      </c>
      <c r="L36" s="192">
        <f>'Interventions cost'!AJ36+'Interventions cost'!AK36+'Interventions cost'!AL36+'Interventions cost'!AM36</f>
        <v>3688354516.2777791</v>
      </c>
      <c r="M36" s="240">
        <f>'Interventions cost'!T36+'Interventions cost'!U36+'Interventions cost'!V36+'Interventions cost'!W36</f>
        <v>5438227.6191811264</v>
      </c>
      <c r="N36" s="192">
        <f>'Interventions cost'!AN36+'Interventions cost'!AO36+'Interventions cost'!AP36+'Interventions cost'!AQ36</f>
        <v>43736355.771053381</v>
      </c>
      <c r="O36" s="240">
        <f>'Interventions cost'!AR36+'Interventions cost'!AS36+'Interventions cost'!AT36+'Interventions cost'!AU36</f>
        <v>257449343.45367622</v>
      </c>
      <c r="P36" s="192">
        <f>'Interventions cost'!BL36+'Interventions cost'!BM36+'Interventions cost'!BN36+'Interventions cost'!BO36</f>
        <v>1099431208.9476519</v>
      </c>
      <c r="Q36" s="240">
        <f>'Interventions cost'!AV36+'Interventions cost'!AW36+'Interventions cost'!AX36+'Interventions cost'!AY36</f>
        <v>184794007.17803112</v>
      </c>
      <c r="R36" s="192">
        <f>'Interventions cost'!BP36+'Interventions cost'!BQ36+'Interventions cost'!BR36+'Interventions cost'!BS36</f>
        <v>789158348.56102729</v>
      </c>
      <c r="S36" s="240">
        <f>'Interventions cost'!AZ36+'Interventions cost'!BA36+'Interventions cost'!BB36+'Interventions cost'!BC36</f>
        <v>62498042.743342355</v>
      </c>
      <c r="T36" s="192">
        <f>'Interventions cost'!BT36+'Interventions cost'!BU36+'Interventions cost'!BV36+'Interventions cost'!BW36</f>
        <v>266896383.45315325</v>
      </c>
      <c r="U36" s="240">
        <f>'Interventions cost'!BD36+'Interventions cost'!BE36+'Interventions cost'!BF36+'Interventions cost'!BG36</f>
        <v>54122916.812335052</v>
      </c>
      <c r="V36" s="192">
        <f>'Interventions cost'!BX36+'Interventions cost'!BY36+'Interventions cost'!BZ36+'Interventions cost'!CA36</f>
        <v>231130610.25718081</v>
      </c>
      <c r="W36" s="240">
        <f>'Interventions cost'!BH36+'Interventions cost'!BI36+'Interventions cost'!BJ36+'Interventions cost'!BK36</f>
        <v>2020619.6612750827</v>
      </c>
      <c r="X36" s="240">
        <f>'Interventions cost'!CB36+'Interventions cost'!CC36+'Interventions cost'!CD36+'Interventions cost'!CE36</f>
        <v>8629007.5057767145</v>
      </c>
      <c r="Y36" s="242">
        <f>'Interventions cost'!CF36+'Interventions cost'!CG36+'Interventions cost'!CH36+'Interventions cost'!CI36</f>
        <v>193359204.23755115</v>
      </c>
      <c r="Z36" s="192">
        <f>'Interventions cost'!CJ36+'Interventions cost'!CK36+'Interventions cost'!CL36+'Interventions cost'!CM36</f>
        <v>825735815.92488313</v>
      </c>
      <c r="AA36" s="196">
        <f>'Food volume'!Y37+'Food volume'!Z37+'Food volume'!AA37+'Food volume'!AB37</f>
        <v>239401659.2085717</v>
      </c>
      <c r="AB36" s="178">
        <f>'Food volume'!AC37+'Food volume'!AD37+'Food volume'!AE37+'Food volume'!AF37</f>
        <v>66149325.59664727</v>
      </c>
      <c r="AC36" s="178">
        <f>'Food volume'!AG37+'Food volume'!AH37+'Food volume'!AI37+'Food volume'!AJ37</f>
        <v>46122800.56206356</v>
      </c>
      <c r="AD36" s="178">
        <f>'Food volume'!AK37+'Food volume'!AL37+'Food volume'!AM37+'Food volume'!AN37</f>
        <v>131032612.80746728</v>
      </c>
      <c r="AE36" s="178">
        <f>'Food volume'!AO37+'Food volume'!AP37+'Food volume'!AQ37+'Food volume'!AR37</f>
        <v>1553779.3197660362</v>
      </c>
      <c r="AF36" s="118">
        <f>SUM('Food volume'!AS37:AV37)</f>
        <v>73556955.272478923</v>
      </c>
      <c r="AG36" s="196">
        <f>'Food volume'!AW37+'Food volume'!AX37+'Food volume'!AY37+'Food volume'!AZ37</f>
        <v>52798287.765151754</v>
      </c>
      <c r="AH36" s="250">
        <f>'Food volume'!BA37+'Food volume'!BB37+'Food volume'!BC37+'Food volume'!BD37</f>
        <v>17856583.64095496</v>
      </c>
      <c r="AI36" s="250">
        <f>'Food volume'!BE37+'Food volume'!BF37+'Food volume'!BG37+'Food volume'!BH37</f>
        <v>15463690.517810013</v>
      </c>
      <c r="AJ36" s="247">
        <f>'Food volume'!BI37+'Food volume'!BJ37+'Food volume'!BK37+'Food volume'!BL37</f>
        <v>577319.90322145226</v>
      </c>
      <c r="AK36" s="250">
        <f>'Food volume'!BM37+'Food volume'!BN37+'Food volume'!BO37+'Food volume'!BP37</f>
        <v>55245486.925014615</v>
      </c>
      <c r="AL36" s="220"/>
    </row>
    <row r="37" spans="1:38">
      <c r="A37" s="9">
        <v>36</v>
      </c>
      <c r="B37" s="1" t="s">
        <v>141</v>
      </c>
      <c r="C37" s="1" t="s">
        <v>489</v>
      </c>
      <c r="D37" s="1">
        <v>1</v>
      </c>
      <c r="E37" s="191">
        <f>'Interventions cost'!D37+'Interventions cost'!E37+'Interventions cost'!F37+'Interventions cost'!G37</f>
        <v>112435600.12337849</v>
      </c>
      <c r="F37" s="192">
        <f>'Interventions cost'!X37+'Interventions cost'!Y37+'Interventions cost'!Z37+'Interventions cost'!AA37</f>
        <v>2091974396.5365238</v>
      </c>
      <c r="G37" s="240">
        <f>'Interventions cost'!H37+'Interventions cost'!I37+'Interventions cost'!J37+'Interventions cost'!K37</f>
        <v>29483038.518617369</v>
      </c>
      <c r="H37" s="192">
        <f>'Interventions cost'!AB37+'Interventions cost'!AC37+'Interventions cost'!AD37+'Interventions cost'!AE37</f>
        <v>548560790.75814998</v>
      </c>
      <c r="I37" s="240">
        <f>'Interventions cost'!L37+'Interventions cost'!M37+'Interventions cost'!N37+'Interventions cost'!O37</f>
        <v>21722040.998548828</v>
      </c>
      <c r="J37" s="192">
        <f>'Interventions cost'!AF37+'Interventions cost'!AG37+'Interventions cost'!AH37+'Interventions cost'!AI37</f>
        <v>404159835.13776946</v>
      </c>
      <c r="K37" s="240">
        <f>'Interventions cost'!P37+'Interventions cost'!Q37+'Interventions cost'!R37+'Interventions cost'!S37</f>
        <v>57824815.360221252</v>
      </c>
      <c r="L37" s="192">
        <f>'Interventions cost'!AJ37+'Interventions cost'!AK37+'Interventions cost'!AL37+'Interventions cost'!AM37</f>
        <v>1075887290.9051354</v>
      </c>
      <c r="M37" s="240">
        <f>'Interventions cost'!T37+'Interventions cost'!U37+'Interventions cost'!V37+'Interventions cost'!W37</f>
        <v>1978321.4198678338</v>
      </c>
      <c r="N37" s="192">
        <f>'Interventions cost'!AN37+'Interventions cost'!AO37+'Interventions cost'!AP37+'Interventions cost'!AQ37</f>
        <v>36808606.472877815</v>
      </c>
      <c r="O37" s="240">
        <f>'Interventions cost'!AR37+'Interventions cost'!AS37+'Interventions cost'!AT37+'Interventions cost'!AU37</f>
        <v>37480503.8608969</v>
      </c>
      <c r="P37" s="192">
        <f>'Interventions cost'!BL37+'Interventions cost'!BM37+'Interventions cost'!BN37+'Interventions cost'!BO37</f>
        <v>343928212.53538483</v>
      </c>
      <c r="Q37" s="240">
        <f>'Interventions cost'!AV37+'Interventions cost'!AW37+'Interventions cost'!AX37+'Interventions cost'!AY37</f>
        <v>24052802.703655403</v>
      </c>
      <c r="R37" s="192">
        <f>'Interventions cost'!BP37+'Interventions cost'!BQ37+'Interventions cost'!BR37+'Interventions cost'!BS37</f>
        <v>220713079.81974697</v>
      </c>
      <c r="S37" s="240">
        <f>'Interventions cost'!AZ37+'Interventions cost'!BA37+'Interventions cost'!BB37+'Interventions cost'!BC37</f>
        <v>6851368.0616197577</v>
      </c>
      <c r="T37" s="192">
        <f>'Interventions cost'!BT37+'Interventions cost'!BU37+'Interventions cost'!BV37+'Interventions cost'!BW37</f>
        <v>62869452.865421519</v>
      </c>
      <c r="U37" s="240">
        <f>'Interventions cost'!BD37+'Interventions cost'!BE37+'Interventions cost'!BF37+'Interventions cost'!BG37</f>
        <v>8371139.5489409408</v>
      </c>
      <c r="V37" s="192">
        <f>'Interventions cost'!BX37+'Interventions cost'!BY37+'Interventions cost'!BZ37+'Interventions cost'!CA37</f>
        <v>76815164.295462847</v>
      </c>
      <c r="W37" s="240">
        <f>'Interventions cost'!BH37+'Interventions cost'!BI37+'Interventions cost'!BJ37+'Interventions cost'!BK37</f>
        <v>479362.09130115749</v>
      </c>
      <c r="X37" s="240">
        <f>'Interventions cost'!CB37+'Interventions cost'!CC37+'Interventions cost'!CD37+'Interventions cost'!CE37</f>
        <v>4398717.4726974387</v>
      </c>
      <c r="Y37" s="242">
        <f>'Interventions cost'!CF37+'Interventions cost'!CG37+'Interventions cost'!CH37+'Interventions cost'!CI37</f>
        <v>32069631.43785752</v>
      </c>
      <c r="Z37" s="192">
        <f>'Interventions cost'!CJ37+'Interventions cost'!CK37+'Interventions cost'!CL37+'Interventions cost'!CM37</f>
        <v>294277020.87532663</v>
      </c>
      <c r="AA37" s="196">
        <f>'Food volume'!Y38+'Food volume'!Z38+'Food volume'!AA38+'Food volume'!AB38</f>
        <v>32124457.178108133</v>
      </c>
      <c r="AB37" s="178">
        <f>'Food volume'!AC38+'Food volume'!AD38+'Food volume'!AE38+'Food volume'!AF38</f>
        <v>8423725.2910335343</v>
      </c>
      <c r="AC37" s="178">
        <f>'Food volume'!AG38+'Food volume'!AH38+'Food volume'!AI38+'Food volume'!AJ38</f>
        <v>6206297.428156808</v>
      </c>
      <c r="AD37" s="178">
        <f>'Food volume'!AK38+'Food volume'!AL38+'Food volume'!AM38+'Food volume'!AN38</f>
        <v>16521375.817206074</v>
      </c>
      <c r="AE37" s="178">
        <f>'Food volume'!AO38+'Food volume'!AP38+'Food volume'!AQ38+'Food volume'!AR38</f>
        <v>565234.6913908096</v>
      </c>
      <c r="AF37" s="118">
        <f>SUM('Food volume'!AS38:AV38)</f>
        <v>10708715.388827687</v>
      </c>
      <c r="AG37" s="196">
        <f>'Food volume'!AW38+'Food volume'!AX38+'Food volume'!AY38+'Food volume'!AZ38</f>
        <v>6872229.3439015439</v>
      </c>
      <c r="AH37" s="250">
        <f>'Food volume'!BA38+'Food volume'!BB38+'Food volume'!BC38+'Food volume'!BD38</f>
        <v>1957533.7318913597</v>
      </c>
      <c r="AI37" s="250">
        <f>'Food volume'!BE38+'Food volume'!BF38+'Food volume'!BG38+'Food volume'!BH38</f>
        <v>2391754.156840269</v>
      </c>
      <c r="AJ37" s="247">
        <f>'Food volume'!BI38+'Food volume'!BJ38+'Food volume'!BK38+'Food volume'!BL38</f>
        <v>136960.59751461644</v>
      </c>
      <c r="AK37" s="250">
        <f>'Food volume'!BM38+'Food volume'!BN38+'Food volume'!BO38+'Food volume'!BP38</f>
        <v>9162751.8393878639</v>
      </c>
      <c r="AL37" s="220"/>
    </row>
    <row r="38" spans="1:38">
      <c r="A38" s="9">
        <v>37</v>
      </c>
      <c r="B38" s="1" t="s">
        <v>493</v>
      </c>
      <c r="C38" s="1" t="s">
        <v>494</v>
      </c>
      <c r="D38" s="1">
        <v>0</v>
      </c>
      <c r="E38" s="191">
        <f>'Interventions cost'!D38+'Interventions cost'!E38+'Interventions cost'!F38+'Interventions cost'!G38</f>
        <v>301473201.12054878</v>
      </c>
      <c r="F38" s="192">
        <f>'Interventions cost'!X38+'Interventions cost'!Y38+'Interventions cost'!Z38+'Interventions cost'!AA38</f>
        <v>2424565520.7848883</v>
      </c>
      <c r="G38" s="240">
        <f>'Interventions cost'!H38+'Interventions cost'!I38+'Interventions cost'!J38+'Interventions cost'!K38</f>
        <v>75668701.837845534</v>
      </c>
      <c r="H38" s="192">
        <f>'Interventions cost'!AB38+'Interventions cost'!AC38+'Interventions cost'!AD38+'Interventions cost'!AE38</f>
        <v>608557327.14109969</v>
      </c>
      <c r="I38" s="240">
        <f>'Interventions cost'!L38+'Interventions cost'!M38+'Interventions cost'!N38+'Interventions cost'!O38</f>
        <v>49923620.398551576</v>
      </c>
      <c r="J38" s="192">
        <f>'Interventions cost'!AF38+'Interventions cost'!AG38+'Interventions cost'!AH38+'Interventions cost'!AI38</f>
        <v>401505302.10040218</v>
      </c>
      <c r="K38" s="240">
        <f>'Interventions cost'!P38+'Interventions cost'!Q38+'Interventions cost'!R38+'Interventions cost'!S38</f>
        <v>172541828.93506661</v>
      </c>
      <c r="L38" s="192">
        <f>'Interventions cost'!AJ38+'Interventions cost'!AK38+'Interventions cost'!AL38+'Interventions cost'!AM38</f>
        <v>1387648944.4972177</v>
      </c>
      <c r="M38" s="240">
        <f>'Interventions cost'!T38+'Interventions cost'!U38+'Interventions cost'!V38+'Interventions cost'!W38</f>
        <v>2673765.1180034094</v>
      </c>
      <c r="N38" s="192">
        <f>'Interventions cost'!AN38+'Interventions cost'!AO38+'Interventions cost'!AP38+'Interventions cost'!AQ38</f>
        <v>21503465.952173267</v>
      </c>
      <c r="O38" s="240">
        <f>'Interventions cost'!AR38+'Interventions cost'!AS38+'Interventions cost'!AT38+'Interventions cost'!AU38</f>
        <v>78626083.040613592</v>
      </c>
      <c r="P38" s="192">
        <f>'Interventions cost'!BL38+'Interventions cost'!BM38+'Interventions cost'!BN38+'Interventions cost'!BO38</f>
        <v>335770790.37187147</v>
      </c>
      <c r="Q38" s="240">
        <f>'Interventions cost'!AV38+'Interventions cost'!AW38+'Interventions cost'!AX38+'Interventions cost'!AY38</f>
        <v>64297084.24622874</v>
      </c>
      <c r="R38" s="192">
        <f>'Interventions cost'!BP38+'Interventions cost'!BQ38+'Interventions cost'!BR38+'Interventions cost'!BS38</f>
        <v>274579146.78022802</v>
      </c>
      <c r="S38" s="240">
        <f>'Interventions cost'!AZ38+'Interventions cost'!BA38+'Interventions cost'!BB38+'Interventions cost'!BC38</f>
        <v>17578115.200054687</v>
      </c>
      <c r="T38" s="192">
        <f>'Interventions cost'!BT38+'Interventions cost'!BU38+'Interventions cost'!BV38+'Interventions cost'!BW38</f>
        <v>75066916.800642774</v>
      </c>
      <c r="U38" s="240">
        <f>'Interventions cost'!BD38+'Interventions cost'!BE38+'Interventions cost'!BF38+'Interventions cost'!BG38</f>
        <v>17197893.026511628</v>
      </c>
      <c r="V38" s="192">
        <f>'Interventions cost'!BX38+'Interventions cost'!BY38+'Interventions cost'!BZ38+'Interventions cost'!CA38</f>
        <v>73443187.183315694</v>
      </c>
      <c r="W38" s="240">
        <f>'Interventions cost'!BH38+'Interventions cost'!BI38+'Interventions cost'!BJ38+'Interventions cost'!BK38</f>
        <v>888839.70252087933</v>
      </c>
      <c r="X38" s="240">
        <f>'Interventions cost'!CB38+'Interventions cost'!CC38+'Interventions cost'!CD38+'Interventions cost'!CE38</f>
        <v>3795768.5018491265</v>
      </c>
      <c r="Y38" s="242">
        <f>'Interventions cost'!CF38+'Interventions cost'!CG38+'Interventions cost'!CH38+'Interventions cost'!CI38</f>
        <v>69517893.068088695</v>
      </c>
      <c r="Z38" s="192">
        <f>'Interventions cost'!CJ38+'Interventions cost'!CK38+'Interventions cost'!CL38+'Interventions cost'!CM38</f>
        <v>296874484.87548661</v>
      </c>
      <c r="AA38" s="196">
        <f>'Food volume'!Y39+'Food volume'!Z39+'Food volume'!AA39+'Food volume'!AB39</f>
        <v>86135200.320156798</v>
      </c>
      <c r="AB38" s="178">
        <f>'Food volume'!AC39+'Food volume'!AD39+'Food volume'!AE39+'Food volume'!AF39</f>
        <v>21619629.096527293</v>
      </c>
      <c r="AC38" s="178">
        <f>'Food volume'!AG39+'Food volume'!AH39+'Food volume'!AI39+'Food volume'!AJ39</f>
        <v>14263891.542443309</v>
      </c>
      <c r="AD38" s="178">
        <f>'Food volume'!AK39+'Food volume'!AL39+'Food volume'!AM39+'Food volume'!AN39</f>
        <v>49297665.41001904</v>
      </c>
      <c r="AE38" s="178">
        <f>'Food volume'!AO39+'Food volume'!AP39+'Food volume'!AQ39+'Food volume'!AR39</f>
        <v>763932.89085811691</v>
      </c>
      <c r="AF38" s="118">
        <f>SUM('Food volume'!AS39:AV39)</f>
        <v>22464595.154461026</v>
      </c>
      <c r="AG38" s="196">
        <f>'Food volume'!AW39+'Food volume'!AX39+'Food volume'!AY39+'Food volume'!AZ39</f>
        <v>18370595.498922497</v>
      </c>
      <c r="AH38" s="250">
        <f>'Food volume'!BA39+'Food volume'!BB39+'Food volume'!BC39+'Food volume'!BD39</f>
        <v>5022318.6285870522</v>
      </c>
      <c r="AI38" s="250">
        <f>'Food volume'!BE39+'Food volume'!BF39+'Food volume'!BG39+'Food volume'!BH39</f>
        <v>4913683.7218604656</v>
      </c>
      <c r="AJ38" s="247">
        <f>'Food volume'!BI39+'Food volume'!BJ39+'Food volume'!BK39+'Food volume'!BL39</f>
        <v>253954.20072025125</v>
      </c>
      <c r="AK38" s="250">
        <f>'Food volume'!BM39+'Food volume'!BN39+'Food volume'!BO39+'Food volume'!BP39</f>
        <v>19862255.162311055</v>
      </c>
      <c r="AL38" s="220"/>
    </row>
    <row r="39" spans="1:38">
      <c r="A39" s="9">
        <v>38</v>
      </c>
      <c r="B39" s="1" t="s">
        <v>498</v>
      </c>
      <c r="C39" s="1" t="s">
        <v>499</v>
      </c>
      <c r="D39" s="1">
        <v>0</v>
      </c>
      <c r="E39" s="191">
        <f>'Interventions cost'!D39+'Interventions cost'!E39+'Interventions cost'!F39+'Interventions cost'!G39</f>
        <v>693982223.10816526</v>
      </c>
      <c r="F39" s="192">
        <f>'Interventions cost'!X39+'Interventions cost'!Y39+'Interventions cost'!Z39+'Interventions cost'!AA39</f>
        <v>5581276756.7120724</v>
      </c>
      <c r="G39" s="240">
        <f>'Interventions cost'!H39+'Interventions cost'!I39+'Interventions cost'!J39+'Interventions cost'!K39</f>
        <v>184383057.51241791</v>
      </c>
      <c r="H39" s="192">
        <f>'Interventions cost'!AB39+'Interventions cost'!AC39+'Interventions cost'!AD39+'Interventions cost'!AE39</f>
        <v>1482880740.9742069</v>
      </c>
      <c r="I39" s="240">
        <f>'Interventions cost'!L39+'Interventions cost'!M39+'Interventions cost'!N39+'Interventions cost'!O39</f>
        <v>138459029.42903346</v>
      </c>
      <c r="J39" s="192">
        <f>'Interventions cost'!AF39+'Interventions cost'!AG39+'Interventions cost'!AH39+'Interventions cost'!AI39</f>
        <v>1113541726.2536001</v>
      </c>
      <c r="K39" s="240">
        <f>'Interventions cost'!P39+'Interventions cost'!Q39+'Interventions cost'!R39+'Interventions cost'!S39</f>
        <v>396278598.29941869</v>
      </c>
      <c r="L39" s="192">
        <f>'Interventions cost'!AJ39+'Interventions cost'!AK39+'Interventions cost'!AL39+'Interventions cost'!AM39</f>
        <v>3187027644.5485554</v>
      </c>
      <c r="M39" s="240">
        <f>'Interventions cost'!T39+'Interventions cost'!U39+'Interventions cost'!V39+'Interventions cost'!W39</f>
        <v>6348053.0839121025</v>
      </c>
      <c r="N39" s="192">
        <f>'Interventions cost'!AN39+'Interventions cost'!AO39+'Interventions cost'!AP39+'Interventions cost'!AQ39</f>
        <v>51053528.387125261</v>
      </c>
      <c r="O39" s="240">
        <f>'Interventions cost'!AR39+'Interventions cost'!AS39+'Interventions cost'!AT39+'Interventions cost'!AU39</f>
        <v>173023173.3180941</v>
      </c>
      <c r="P39" s="192">
        <f>'Interventions cost'!BL39+'Interventions cost'!BM39+'Interventions cost'!BN39+'Interventions cost'!BO39</f>
        <v>738891286.59323823</v>
      </c>
      <c r="Q39" s="240">
        <f>'Interventions cost'!AV39+'Interventions cost'!AW39+'Interventions cost'!AX39+'Interventions cost'!AY39</f>
        <v>137040138.48899123</v>
      </c>
      <c r="R39" s="192">
        <f>'Interventions cost'!BP39+'Interventions cost'!BQ39+'Interventions cost'!BR39+'Interventions cost'!BS39</f>
        <v>585226604.62878668</v>
      </c>
      <c r="S39" s="240">
        <f>'Interventions cost'!AZ39+'Interventions cost'!BA39+'Interventions cost'!BB39+'Interventions cost'!BC39</f>
        <v>38463413.751361102</v>
      </c>
      <c r="T39" s="192">
        <f>'Interventions cost'!BT39+'Interventions cost'!BU39+'Interventions cost'!BV39+'Interventions cost'!BW39</f>
        <v>164257080.30023265</v>
      </c>
      <c r="U39" s="240">
        <f>'Interventions cost'!BD39+'Interventions cost'!BE39+'Interventions cost'!BF39+'Interventions cost'!BG39</f>
        <v>44693100.875675656</v>
      </c>
      <c r="V39" s="192">
        <f>'Interventions cost'!BX39+'Interventions cost'!BY39+'Interventions cost'!BZ39+'Interventions cost'!CA39</f>
        <v>190860808.84181726</v>
      </c>
      <c r="W39" s="240">
        <f>'Interventions cost'!BH39+'Interventions cost'!BI39+'Interventions cost'!BJ39+'Interventions cost'!BK39</f>
        <v>927766.05531360744</v>
      </c>
      <c r="X39" s="240">
        <f>'Interventions cost'!CB39+'Interventions cost'!CC39+'Interventions cost'!CD39+'Interventions cost'!CE39</f>
        <v>3962002.5521547636</v>
      </c>
      <c r="Y39" s="242">
        <f>'Interventions cost'!CF39+'Interventions cost'!CG39+'Interventions cost'!CH39+'Interventions cost'!CI39</f>
        <v>179559215.80208531</v>
      </c>
      <c r="Z39" s="192">
        <f>'Interventions cost'!CJ39+'Interventions cost'!CK39+'Interventions cost'!CL39+'Interventions cost'!CM39</f>
        <v>766803298.30594492</v>
      </c>
      <c r="AA39" s="196">
        <f>'Food volume'!Y40+'Food volume'!Z40+'Food volume'!AA40+'Food volume'!AB40</f>
        <v>198280635.17376149</v>
      </c>
      <c r="AB39" s="178">
        <f>'Food volume'!AC40+'Food volume'!AD40+'Food volume'!AE40+'Food volume'!AF40</f>
        <v>52680873.574976556</v>
      </c>
      <c r="AC39" s="178">
        <f>'Food volume'!AG40+'Food volume'!AH40+'Food volume'!AI40+'Food volume'!AJ40</f>
        <v>39559722.694009565</v>
      </c>
      <c r="AD39" s="178">
        <f>'Food volume'!AK40+'Food volume'!AL40+'Food volume'!AM40+'Food volume'!AN40</f>
        <v>113222456.65697676</v>
      </c>
      <c r="AE39" s="178">
        <f>'Food volume'!AO40+'Food volume'!AP40+'Food volume'!AQ40+'Food volume'!AR40</f>
        <v>1813729.4525463148</v>
      </c>
      <c r="AF39" s="118">
        <f>SUM('Food volume'!AS40:AV40)</f>
        <v>49435192.376598313</v>
      </c>
      <c r="AG39" s="196">
        <f>'Food volume'!AW40+'Food volume'!AX40+'Food volume'!AY40+'Food volume'!AZ40</f>
        <v>39154325.282568917</v>
      </c>
      <c r="AH39" s="250">
        <f>'Food volume'!BA40+'Food volume'!BB40+'Food volume'!BC40+'Food volume'!BD40</f>
        <v>10989546.78610317</v>
      </c>
      <c r="AI39" s="250">
        <f>'Food volume'!BE40+'Food volume'!BF40+'Food volume'!BG40+'Food volume'!BH40</f>
        <v>12769457.393050186</v>
      </c>
      <c r="AJ39" s="247">
        <f>'Food volume'!BI40+'Food volume'!BJ40+'Food volume'!BK40+'Food volume'!BL40</f>
        <v>265076.0158038878</v>
      </c>
      <c r="AK39" s="250">
        <f>'Food volume'!BM40+'Food volume'!BN40+'Food volume'!BO40+'Food volume'!BP40</f>
        <v>51302633.086310089</v>
      </c>
      <c r="AL39" s="220"/>
    </row>
    <row r="40" spans="1:38">
      <c r="A40" s="9">
        <v>39</v>
      </c>
      <c r="B40" s="1" t="s">
        <v>503</v>
      </c>
      <c r="C40" s="1" t="s">
        <v>504</v>
      </c>
      <c r="D40" s="1">
        <v>0</v>
      </c>
      <c r="E40" s="191">
        <f>'Interventions cost'!D40+'Interventions cost'!E40+'Interventions cost'!F40+'Interventions cost'!G40</f>
        <v>27765391.388101187</v>
      </c>
      <c r="F40" s="192">
        <f>'Interventions cost'!X40+'Interventions cost'!Y40+'Interventions cost'!Z40+'Interventions cost'!AA40</f>
        <v>516602284.59656703</v>
      </c>
      <c r="G40" s="240">
        <f>'Interventions cost'!H40+'Interventions cost'!I40+'Interventions cost'!J40+'Interventions cost'!K40</f>
        <v>6048184.5262942407</v>
      </c>
      <c r="H40" s="192">
        <f>'Interventions cost'!AB40+'Interventions cost'!AC40+'Interventions cost'!AD40+'Interventions cost'!AE40</f>
        <v>112532393.30471718</v>
      </c>
      <c r="I40" s="240">
        <f>'Interventions cost'!L40+'Interventions cost'!M40+'Interventions cost'!N40+'Interventions cost'!O40</f>
        <v>4705719.6663685534</v>
      </c>
      <c r="J40" s="192">
        <f>'Interventions cost'!AF40+'Interventions cost'!AG40+'Interventions cost'!AH40+'Interventions cost'!AI40</f>
        <v>87554520.530144036</v>
      </c>
      <c r="K40" s="240">
        <f>'Interventions cost'!P40+'Interventions cost'!Q40+'Interventions cost'!R40+'Interventions cost'!S40</f>
        <v>17793208.160019778</v>
      </c>
      <c r="L40" s="192">
        <f>'Interventions cost'!AJ40+'Interventions cost'!AK40+'Interventions cost'!AL40+'Interventions cost'!AM40</f>
        <v>331060054.48594964</v>
      </c>
      <c r="M40" s="240">
        <f>'Interventions cost'!T40+'Interventions cost'!U40+'Interventions cost'!V40+'Interventions cost'!W40</f>
        <v>85171.396676354037</v>
      </c>
      <c r="N40" s="192">
        <f>'Interventions cost'!AN40+'Interventions cost'!AO40+'Interventions cost'!AP40+'Interventions cost'!AQ40</f>
        <v>1584697.204165505</v>
      </c>
      <c r="O40" s="240">
        <f>'Interventions cost'!AR40+'Interventions cost'!AS40+'Interventions cost'!AT40+'Interventions cost'!AU40</f>
        <v>6143659.6256951783</v>
      </c>
      <c r="P40" s="192">
        <f>'Interventions cost'!BL40+'Interventions cost'!BM40+'Interventions cost'!BN40+'Interventions cost'!BO40</f>
        <v>56375386.02290792</v>
      </c>
      <c r="Q40" s="240">
        <f>'Interventions cost'!AV40+'Interventions cost'!AW40+'Interventions cost'!AX40+'Interventions cost'!AY40</f>
        <v>4923350.5411669081</v>
      </c>
      <c r="R40" s="192">
        <f>'Interventions cost'!BP40+'Interventions cost'!BQ40+'Interventions cost'!BR40+'Interventions cost'!BS40</f>
        <v>45177598.401371494</v>
      </c>
      <c r="S40" s="240">
        <f>'Interventions cost'!AZ40+'Interventions cost'!BA40+'Interventions cost'!BB40+'Interventions cost'!BC40</f>
        <v>1023014.5123653829</v>
      </c>
      <c r="T40" s="192">
        <f>'Interventions cost'!BT40+'Interventions cost'!BU40+'Interventions cost'!BV40+'Interventions cost'!BW40</f>
        <v>9387375.2055574637</v>
      </c>
      <c r="U40" s="240">
        <f>'Interventions cost'!BD40+'Interventions cost'!BE40+'Interventions cost'!BF40+'Interventions cost'!BG40</f>
        <v>1568477.6385105248</v>
      </c>
      <c r="V40" s="192">
        <f>'Interventions cost'!BX40+'Interventions cost'!BY40+'Interventions cost'!BZ40+'Interventions cost'!CA40</f>
        <v>14392648.311685141</v>
      </c>
      <c r="W40" s="240">
        <f>'Interventions cost'!BH40+'Interventions cost'!BI40+'Interventions cost'!BJ40+'Interventions cost'!BK40</f>
        <v>37727.967869373169</v>
      </c>
      <c r="X40" s="240">
        <f>'Interventions cost'!CB40+'Interventions cost'!CC40+'Interventions cost'!CD40+'Interventions cost'!CE40</f>
        <v>346198.98921485402</v>
      </c>
      <c r="Y40" s="242">
        <f>'Interventions cost'!CF40+'Interventions cost'!CG40+'Interventions cost'!CH40+'Interventions cost'!CI40</f>
        <v>5486235.6687229555</v>
      </c>
      <c r="Z40" s="192">
        <f>'Interventions cost'!CJ40+'Interventions cost'!CK40+'Interventions cost'!CL40+'Interventions cost'!CM40</f>
        <v>50342739.096960619</v>
      </c>
      <c r="AA40" s="196">
        <f>'Food volume'!Y41+'Food volume'!Z41+'Food volume'!AA41+'Food volume'!AB41</f>
        <v>7932968.9680289105</v>
      </c>
      <c r="AB40" s="178">
        <f>'Food volume'!AC41+'Food volume'!AD41+'Food volume'!AE41+'Food volume'!AF41</f>
        <v>1728052.7217983543</v>
      </c>
      <c r="AC40" s="178">
        <f>'Food volume'!AG41+'Food volume'!AH41+'Food volume'!AI41+'Food volume'!AJ41</f>
        <v>1344491.3332481582</v>
      </c>
      <c r="AD40" s="178">
        <f>'Food volume'!AK41+'Food volume'!AL41+'Food volume'!AM41+'Food volume'!AN41</f>
        <v>5083773.760005651</v>
      </c>
      <c r="AE40" s="178">
        <f>'Food volume'!AO41+'Food volume'!AP41+'Food volume'!AQ41+'Food volume'!AR41</f>
        <v>24334.684764672584</v>
      </c>
      <c r="AF40" s="118">
        <f>SUM('Food volume'!AS41:AV41)</f>
        <v>1755331.3216271936</v>
      </c>
      <c r="AG40" s="196">
        <f>'Food volume'!AW41+'Food volume'!AX41+'Food volume'!AY41+'Food volume'!AZ41</f>
        <v>1406671.5831905452</v>
      </c>
      <c r="AH40" s="250">
        <f>'Food volume'!BA41+'Food volume'!BB41+'Food volume'!BC41+'Food volume'!BD41</f>
        <v>292289.86067582364</v>
      </c>
      <c r="AI40" s="250">
        <f>'Food volume'!BE41+'Food volume'!BF41+'Food volume'!BG41+'Food volume'!BH41</f>
        <v>448136.4681458642</v>
      </c>
      <c r="AJ40" s="247">
        <f>'Food volume'!BI41+'Food volume'!BJ41+'Food volume'!BK41+'Food volume'!BL41</f>
        <v>10779.419391249477</v>
      </c>
      <c r="AK40" s="250">
        <f>'Food volume'!BM41+'Food volume'!BN41+'Food volume'!BO41+'Food volume'!BP41</f>
        <v>1567495.9053494162</v>
      </c>
      <c r="AL40" s="220"/>
    </row>
    <row r="41" spans="1:38">
      <c r="A41" s="9">
        <v>40</v>
      </c>
      <c r="B41" s="1" t="s">
        <v>508</v>
      </c>
      <c r="C41" s="1" t="s">
        <v>509</v>
      </c>
      <c r="D41" s="1">
        <v>0</v>
      </c>
      <c r="E41" s="191">
        <f>'Interventions cost'!D41+'Interventions cost'!E41+'Interventions cost'!F41+'Interventions cost'!G41</f>
        <v>130234366.71533513</v>
      </c>
      <c r="F41" s="192">
        <f>'Interventions cost'!X41+'Interventions cost'!Y41+'Interventions cost'!Z41+'Interventions cost'!AA41</f>
        <v>2423137871.0894632</v>
      </c>
      <c r="G41" s="240">
        <f>'Interventions cost'!H41+'Interventions cost'!I41+'Interventions cost'!J41+'Interventions cost'!K41</f>
        <v>30179221.148670301</v>
      </c>
      <c r="H41" s="192">
        <f>'Interventions cost'!AB41+'Interventions cost'!AC41+'Interventions cost'!AD41+'Interventions cost'!AE41</f>
        <v>561513950.04031742</v>
      </c>
      <c r="I41" s="240">
        <f>'Interventions cost'!L41+'Interventions cost'!M41+'Interventions cost'!N41+'Interventions cost'!O41</f>
        <v>28750491.003649212</v>
      </c>
      <c r="J41" s="192">
        <f>'Interventions cost'!AF41+'Interventions cost'!AG41+'Interventions cost'!AH41+'Interventions cost'!AI41</f>
        <v>534931027.19680274</v>
      </c>
      <c r="K41" s="240">
        <f>'Interventions cost'!P41+'Interventions cost'!Q41+'Interventions cost'!R41+'Interventions cost'!S41</f>
        <v>73103179.096552923</v>
      </c>
      <c r="L41" s="192">
        <f>'Interventions cost'!AJ41+'Interventions cost'!AK41+'Interventions cost'!AL41+'Interventions cost'!AM41</f>
        <v>1360156203.2630119</v>
      </c>
      <c r="M41" s="240">
        <f>'Interventions cost'!T41+'Interventions cost'!U41+'Interventions cost'!V41+'Interventions cost'!W41</f>
        <v>3284508.8606626121</v>
      </c>
      <c r="N41" s="192">
        <f>'Interventions cost'!AN41+'Interventions cost'!AO41+'Interventions cost'!AP41+'Interventions cost'!AQ41</f>
        <v>61111502.354803018</v>
      </c>
      <c r="O41" s="240">
        <f>'Interventions cost'!AR41+'Interventions cost'!AS41+'Interventions cost'!AT41+'Interventions cost'!AU41</f>
        <v>37938233.215398215</v>
      </c>
      <c r="P41" s="192">
        <f>'Interventions cost'!BL41+'Interventions cost'!BM41+'Interventions cost'!BN41+'Interventions cost'!BO41</f>
        <v>348128423.9120214</v>
      </c>
      <c r="Q41" s="240">
        <f>'Interventions cost'!AV41+'Interventions cost'!AW41+'Interventions cost'!AX41+'Interventions cost'!AY41</f>
        <v>25367916.219151489</v>
      </c>
      <c r="R41" s="192">
        <f>'Interventions cost'!BP41+'Interventions cost'!BQ41+'Interventions cost'!BR41+'Interventions cost'!BS41</f>
        <v>232780810.88185737</v>
      </c>
      <c r="S41" s="240">
        <f>'Interventions cost'!AZ41+'Interventions cost'!BA41+'Interventions cost'!BB41+'Interventions cost'!BC41</f>
        <v>8918027.1598499808</v>
      </c>
      <c r="T41" s="192">
        <f>'Interventions cost'!BT41+'Interventions cost'!BU41+'Interventions cost'!BV41+'Interventions cost'!BW41</f>
        <v>81833508.743972927</v>
      </c>
      <c r="U41" s="240">
        <f>'Interventions cost'!BD41+'Interventions cost'!BE41+'Interventions cost'!BF41+'Interventions cost'!BG41</f>
        <v>11283402.458135072</v>
      </c>
      <c r="V41" s="192">
        <f>'Interventions cost'!BX41+'Interventions cost'!BY41+'Interventions cost'!BZ41+'Interventions cost'!CA41</f>
        <v>103538641.13316907</v>
      </c>
      <c r="W41" s="240">
        <f>'Interventions cost'!BH41+'Interventions cost'!BI41+'Interventions cost'!BJ41+'Interventions cost'!BK41</f>
        <v>587565.50911115506</v>
      </c>
      <c r="X41" s="240">
        <f>'Interventions cost'!CB41+'Interventions cost'!CC41+'Interventions cost'!CD41+'Interventions cost'!CE41</f>
        <v>5391612.5579856895</v>
      </c>
      <c r="Y41" s="242">
        <f>'Interventions cost'!CF41+'Interventions cost'!CG41+'Interventions cost'!CH41+'Interventions cost'!CI41</f>
        <v>40116964.191138431</v>
      </c>
      <c r="Z41" s="192">
        <f>'Interventions cost'!CJ41+'Interventions cost'!CK41+'Interventions cost'!CL41+'Interventions cost'!CM41</f>
        <v>368120872.59581757</v>
      </c>
      <c r="AA41" s="196">
        <f>'Food volume'!Y42+'Food volume'!Z42+'Food volume'!AA42+'Food volume'!AB42</f>
        <v>37209819.061524324</v>
      </c>
      <c r="AB41" s="178">
        <f>'Food volume'!AC42+'Food volume'!AD42+'Food volume'!AE42+'Food volume'!AF42</f>
        <v>8622634.6139058005</v>
      </c>
      <c r="AC41" s="178">
        <f>'Food volume'!AG42+'Food volume'!AH42+'Food volume'!AI42+'Food volume'!AJ42</f>
        <v>8214426.0010426324</v>
      </c>
      <c r="AD41" s="178">
        <f>'Food volume'!AK42+'Food volume'!AL42+'Food volume'!AM42+'Food volume'!AN42</f>
        <v>20886622.59901512</v>
      </c>
      <c r="AE41" s="178">
        <f>'Food volume'!AO42+'Food volume'!AP42+'Food volume'!AQ42+'Food volume'!AR42</f>
        <v>938431.10304646078</v>
      </c>
      <c r="AF41" s="118">
        <f>SUM('Food volume'!AS42:AV42)</f>
        <v>10839495.204399491</v>
      </c>
      <c r="AG41" s="196">
        <f>'Food volume'!AW42+'Food volume'!AX42+'Food volume'!AY42+'Food volume'!AZ42</f>
        <v>7247976.062614711</v>
      </c>
      <c r="AH41" s="250">
        <f>'Food volume'!BA42+'Food volume'!BB42+'Food volume'!BC42+'Food volume'!BD42</f>
        <v>2548007.7599571375</v>
      </c>
      <c r="AI41" s="250">
        <f>'Food volume'!BE42+'Food volume'!BF42+'Food volume'!BG42+'Food volume'!BH42</f>
        <v>3223829.2737528775</v>
      </c>
      <c r="AJ41" s="247">
        <f>'Food volume'!BI42+'Food volume'!BJ42+'Food volume'!BK42+'Food volume'!BL42</f>
        <v>167875.85974604427</v>
      </c>
      <c r="AK41" s="250">
        <f>'Food volume'!BM42+'Food volume'!BN42+'Food volume'!BO42+'Food volume'!BP42</f>
        <v>11461989.768896695</v>
      </c>
      <c r="AL41" s="220"/>
    </row>
    <row r="42" spans="1:38">
      <c r="A42" s="9">
        <v>41</v>
      </c>
      <c r="B42" s="1" t="s">
        <v>513</v>
      </c>
      <c r="C42" s="1" t="s">
        <v>514</v>
      </c>
      <c r="D42" s="1">
        <v>0</v>
      </c>
      <c r="E42" s="191">
        <f>'Interventions cost'!D42+'Interventions cost'!E42+'Interventions cost'!F42+'Interventions cost'!G42</f>
        <v>21645627.911511563</v>
      </c>
      <c r="F42" s="192">
        <f>'Interventions cost'!X42+'Interventions cost'!Y42+'Interventions cost'!Z42+'Interventions cost'!AA42</f>
        <v>402738094.85740566</v>
      </c>
      <c r="G42" s="240">
        <f>'Interventions cost'!H42+'Interventions cost'!I42+'Interventions cost'!J42+'Interventions cost'!K42</f>
        <v>3743806.6174062123</v>
      </c>
      <c r="H42" s="192">
        <f>'Interventions cost'!AB42+'Interventions cost'!AC42+'Interventions cost'!AD42+'Interventions cost'!AE42</f>
        <v>69657186.697128013</v>
      </c>
      <c r="I42" s="240">
        <f>'Interventions cost'!L42+'Interventions cost'!M42+'Interventions cost'!N42+'Interventions cost'!O42</f>
        <v>5247206.5118057523</v>
      </c>
      <c r="J42" s="192">
        <f>'Interventions cost'!AF42+'Interventions cost'!AG42+'Interventions cost'!AH42+'Interventions cost'!AI42</f>
        <v>97629413.317418933</v>
      </c>
      <c r="K42" s="240">
        <f>'Interventions cost'!P42+'Interventions cost'!Q42+'Interventions cost'!R42+'Interventions cost'!S42</f>
        <v>13098131.125073042</v>
      </c>
      <c r="L42" s="192">
        <f>'Interventions cost'!AJ42+'Interventions cost'!AK42+'Interventions cost'!AL42+'Interventions cost'!AM42</f>
        <v>243703550.53082082</v>
      </c>
      <c r="M42" s="240">
        <f>'Interventions cost'!T42+'Interventions cost'!U42+'Interventions cost'!V42+'Interventions cost'!W42</f>
        <v>565783.01994082367</v>
      </c>
      <c r="N42" s="192">
        <f>'Interventions cost'!AN42+'Interventions cost'!AO42+'Interventions cost'!AP42+'Interventions cost'!AQ42</f>
        <v>10526946.895934362</v>
      </c>
      <c r="O42" s="240">
        <f>'Interventions cost'!AR42+'Interventions cost'!AS42+'Interventions cost'!AT42+'Interventions cost'!AU42</f>
        <v>5417393.1812936598</v>
      </c>
      <c r="P42" s="192">
        <f>'Interventions cost'!BL42+'Interventions cost'!BM42+'Interventions cost'!BN42+'Interventions cost'!BO42</f>
        <v>49711027.37462303</v>
      </c>
      <c r="Q42" s="240">
        <f>'Interventions cost'!AV42+'Interventions cost'!AW42+'Interventions cost'!AX42+'Interventions cost'!AY42</f>
        <v>3167477.7320559085</v>
      </c>
      <c r="R42" s="192">
        <f>'Interventions cost'!BP42+'Interventions cost'!BQ42+'Interventions cost'!BR42+'Interventions cost'!BS42</f>
        <v>29065376.460111283</v>
      </c>
      <c r="S42" s="240">
        <f>'Interventions cost'!AZ42+'Interventions cost'!BA42+'Interventions cost'!BB42+'Interventions cost'!BC42</f>
        <v>1648357.7211325644</v>
      </c>
      <c r="T42" s="192">
        <f>'Interventions cost'!BT42+'Interventions cost'!BU42+'Interventions cost'!BV42+'Interventions cost'!BW42</f>
        <v>15125643.101065207</v>
      </c>
      <c r="U42" s="240">
        <f>'Interventions cost'!BD42+'Interventions cost'!BE42+'Interventions cost'!BF42+'Interventions cost'!BG42</f>
        <v>1964157.7109684439</v>
      </c>
      <c r="V42" s="192">
        <f>'Interventions cost'!BX42+'Interventions cost'!BY42+'Interventions cost'!BZ42+'Interventions cost'!CA42</f>
        <v>18023483.707105223</v>
      </c>
      <c r="W42" s="240">
        <f>'Interventions cost'!BH42+'Interventions cost'!BI42+'Interventions cost'!BJ42+'Interventions cost'!BK42</f>
        <v>119433.2210101028</v>
      </c>
      <c r="X42" s="240">
        <f>'Interventions cost'!CB42+'Interventions cost'!CC42+'Interventions cost'!CD42+'Interventions cost'!CE42</f>
        <v>1095941.8894633092</v>
      </c>
      <c r="Y42" s="242">
        <f>'Interventions cost'!CF42+'Interventions cost'!CG42+'Interventions cost'!CH42+'Interventions cost'!CI42</f>
        <v>4231618.1546820588</v>
      </c>
      <c r="Z42" s="192">
        <f>'Interventions cost'!CJ42+'Interventions cost'!CK42+'Interventions cost'!CL42+'Interventions cost'!CM42</f>
        <v>38830130.818771139</v>
      </c>
      <c r="AA42" s="196">
        <f>'Food volume'!Y43+'Food volume'!Z43+'Food volume'!AA43+'Food volume'!AB43</f>
        <v>6184465.1175747328</v>
      </c>
      <c r="AB42" s="178">
        <f>'Food volume'!AC43+'Food volume'!AD43+'Food volume'!AE43+'Food volume'!AF43</f>
        <v>1069659.0335446319</v>
      </c>
      <c r="AC42" s="178">
        <f>'Food volume'!AG43+'Food volume'!AH43+'Food volume'!AI43+'Food volume'!AJ43</f>
        <v>1499201.8605159293</v>
      </c>
      <c r="AD42" s="178">
        <f>'Food volume'!AK43+'Food volume'!AL43+'Food volume'!AM43+'Food volume'!AN43</f>
        <v>3742323.1785922972</v>
      </c>
      <c r="AE42" s="178">
        <f>'Food volume'!AO43+'Food volume'!AP43+'Food volume'!AQ43+'Food volume'!AR43</f>
        <v>161652.29141166387</v>
      </c>
      <c r="AF42" s="118">
        <f>SUM('Food volume'!AS43:AV43)</f>
        <v>1547826.62322676</v>
      </c>
      <c r="AG42" s="196">
        <f>'Food volume'!AW43+'Food volume'!AX43+'Food volume'!AY43+'Food volume'!AZ43</f>
        <v>904993.63773025968</v>
      </c>
      <c r="AH42" s="250">
        <f>'Food volume'!BA43+'Food volume'!BB43+'Food volume'!BC43+'Food volume'!BD43</f>
        <v>470959.3488950184</v>
      </c>
      <c r="AI42" s="250">
        <f>'Food volume'!BE43+'Food volume'!BF43+'Food volume'!BG43+'Food volume'!BH43</f>
        <v>561187.91741955536</v>
      </c>
      <c r="AJ42" s="247">
        <f>'Food volume'!BI43+'Food volume'!BJ43+'Food volume'!BK43+'Food volume'!BL43</f>
        <v>34123.777431457944</v>
      </c>
      <c r="AK42" s="250">
        <f>'Food volume'!BM43+'Food volume'!BN43+'Food volume'!BO43+'Food volume'!BP43</f>
        <v>1209033.7584805882</v>
      </c>
      <c r="AL42" s="220"/>
    </row>
    <row r="43" spans="1:38">
      <c r="A43" s="9">
        <v>42</v>
      </c>
      <c r="B43" s="1" t="s">
        <v>518</v>
      </c>
      <c r="C43" s="1" t="s">
        <v>519</v>
      </c>
      <c r="D43" s="1">
        <v>0</v>
      </c>
      <c r="E43" s="191">
        <f>'Interventions cost'!D43+'Interventions cost'!E43+'Interventions cost'!F43+'Interventions cost'!G43</f>
        <v>196277644.81048277</v>
      </c>
      <c r="F43" s="192">
        <f>'Interventions cost'!X43+'Interventions cost'!Y43+'Interventions cost'!Z43+'Interventions cost'!AA43</f>
        <v>3651937705.7217584</v>
      </c>
      <c r="G43" s="240">
        <f>'Interventions cost'!H43+'Interventions cost'!I43+'Interventions cost'!J43+'Interventions cost'!K43</f>
        <v>40586264.045377657</v>
      </c>
      <c r="H43" s="192">
        <f>'Interventions cost'!AB43+'Interventions cost'!AC43+'Interventions cost'!AD43+'Interventions cost'!AE43</f>
        <v>755147169.9429009</v>
      </c>
      <c r="I43" s="240">
        <f>'Interventions cost'!L43+'Interventions cost'!M43+'Interventions cost'!N43+'Interventions cost'!O43</f>
        <v>32745517.560197949</v>
      </c>
      <c r="J43" s="192">
        <f>'Interventions cost'!AF43+'Interventions cost'!AG43+'Interventions cost'!AH43+'Interventions cost'!AI43</f>
        <v>609262406.76530719</v>
      </c>
      <c r="K43" s="240">
        <f>'Interventions cost'!P43+'Interventions cost'!Q43+'Interventions cost'!R43+'Interventions cost'!S43</f>
        <v>93873778.940258861</v>
      </c>
      <c r="L43" s="192">
        <f>'Interventions cost'!AJ43+'Interventions cost'!AK43+'Interventions cost'!AL43+'Interventions cost'!AM43</f>
        <v>1746613544.4081459</v>
      </c>
      <c r="M43" s="240">
        <f>'Interventions cost'!T43+'Interventions cost'!U43+'Interventions cost'!V43+'Interventions cost'!W43</f>
        <v>2156116.384341646</v>
      </c>
      <c r="N43" s="192">
        <f>'Interventions cost'!AN43+'Interventions cost'!AO43+'Interventions cost'!AP43+'Interventions cost'!AQ43</f>
        <v>40116655.819385439</v>
      </c>
      <c r="O43" s="240">
        <f>'Interventions cost'!AR43+'Interventions cost'!AS43+'Interventions cost'!AT43+'Interventions cost'!AU43</f>
        <v>61491790.41654174</v>
      </c>
      <c r="P43" s="192">
        <f>'Interventions cost'!BL43+'Interventions cost'!BM43+'Interventions cost'!BN43+'Interventions cost'!BO43</f>
        <v>564260332.3064189</v>
      </c>
      <c r="Q43" s="240">
        <f>'Interventions cost'!AV43+'Interventions cost'!AW43+'Interventions cost'!AX43+'Interventions cost'!AY43</f>
        <v>36922824.863962948</v>
      </c>
      <c r="R43" s="192">
        <f>'Interventions cost'!BP43+'Interventions cost'!BQ43+'Interventions cost'!BR43+'Interventions cost'!BS43</f>
        <v>338810844.28185582</v>
      </c>
      <c r="S43" s="240">
        <f>'Interventions cost'!AZ43+'Interventions cost'!BA43+'Interventions cost'!BB43+'Interventions cost'!BC43</f>
        <v>17186823.071061559</v>
      </c>
      <c r="T43" s="192">
        <f>'Interventions cost'!BT43+'Interventions cost'!BU43+'Interventions cost'!BV43+'Interventions cost'!BW43</f>
        <v>157709548.40762013</v>
      </c>
      <c r="U43" s="240">
        <f>'Interventions cost'!BD43+'Interventions cost'!BE43+'Interventions cost'!BF43+'Interventions cost'!BG43</f>
        <v>14386545.15496124</v>
      </c>
      <c r="V43" s="192">
        <f>'Interventions cost'!BX43+'Interventions cost'!BY43+'Interventions cost'!BZ43+'Interventions cost'!CA43</f>
        <v>132013667.10727607</v>
      </c>
      <c r="W43" s="240">
        <f>'Interventions cost'!BH43+'Interventions cost'!BI43+'Interventions cost'!BJ43+'Interventions cost'!BK43</f>
        <v>565467.41639523814</v>
      </c>
      <c r="X43" s="240">
        <f>'Interventions cost'!CB43+'Interventions cost'!CC43+'Interventions cost'!CD43+'Interventions cost'!CE43</f>
        <v>5188836.267772695</v>
      </c>
      <c r="Y43" s="242">
        <f>'Interventions cost'!CF43+'Interventions cost'!CG43+'Interventions cost'!CH43+'Interventions cost'!CI43</f>
        <v>42999821.074086212</v>
      </c>
      <c r="Z43" s="192">
        <f>'Interventions cost'!CJ43+'Interventions cost'!CK43+'Interventions cost'!CL43+'Interventions cost'!CM43</f>
        <v>394574514.15910459</v>
      </c>
      <c r="AA43" s="196">
        <f>'Food volume'!Y44+'Food volume'!Z44+'Food volume'!AA44+'Food volume'!AB44</f>
        <v>56079327.088709369</v>
      </c>
      <c r="AB43" s="178">
        <f>'Food volume'!AC44+'Food volume'!AD44+'Food volume'!AE44+'Food volume'!AF44</f>
        <v>11596075.441536473</v>
      </c>
      <c r="AC43" s="178">
        <f>'Food volume'!AG44+'Food volume'!AH44+'Food volume'!AI44+'Food volume'!AJ44</f>
        <v>9355862.1600565556</v>
      </c>
      <c r="AD43" s="178">
        <f>'Food volume'!AK44+'Food volume'!AL44+'Food volume'!AM44+'Food volume'!AN44</f>
        <v>26821079.697216816</v>
      </c>
      <c r="AE43" s="178">
        <f>'Food volume'!AO44+'Food volume'!AP44+'Food volume'!AQ44+'Food volume'!AR44</f>
        <v>616033.25266904174</v>
      </c>
      <c r="AF43" s="118">
        <f>SUM('Food volume'!AS44:AV44)</f>
        <v>17569082.976154786</v>
      </c>
      <c r="AG43" s="196">
        <f>'Food volume'!AW44+'Food volume'!AX44+'Food volume'!AY44+'Food volume'!AZ44</f>
        <v>10549378.532560842</v>
      </c>
      <c r="AH43" s="250">
        <f>'Food volume'!BA44+'Food volume'!BB44+'Food volume'!BC44+'Food volume'!BD44</f>
        <v>4910520.8774461597</v>
      </c>
      <c r="AI43" s="250">
        <f>'Food volume'!BE44+'Food volume'!BF44+'Food volume'!BG44+'Food volume'!BH44</f>
        <v>4110441.4728460689</v>
      </c>
      <c r="AJ43" s="247">
        <f>'Food volume'!BI44+'Food volume'!BJ44+'Food volume'!BK44+'Food volume'!BL44</f>
        <v>161562.11897006806</v>
      </c>
      <c r="AK43" s="250">
        <f>'Food volume'!BM44+'Food volume'!BN44+'Food volume'!BO44+'Food volume'!BP44</f>
        <v>12285663.164024632</v>
      </c>
      <c r="AL43" s="220"/>
    </row>
    <row r="44" spans="1:38">
      <c r="A44" s="9">
        <v>43</v>
      </c>
      <c r="B44" s="1" t="s">
        <v>523</v>
      </c>
      <c r="C44" s="1" t="s">
        <v>524</v>
      </c>
      <c r="D44" s="1">
        <v>1</v>
      </c>
      <c r="E44" s="191">
        <f>'Interventions cost'!D44+'Interventions cost'!E44+'Interventions cost'!F44+'Interventions cost'!G44</f>
        <v>1147312380.584825</v>
      </c>
      <c r="F44" s="192">
        <f>'Interventions cost'!X44+'Interventions cost'!Y44+'Interventions cost'!Z44+'Interventions cost'!AA44</f>
        <v>14613684042.707226</v>
      </c>
      <c r="G44" s="240">
        <f>'Interventions cost'!H44+'Interventions cost'!I44+'Interventions cost'!J44+'Interventions cost'!K44</f>
        <v>205667259.31713209</v>
      </c>
      <c r="H44" s="192">
        <f>'Interventions cost'!AB44+'Interventions cost'!AC44+'Interventions cost'!AD44+'Interventions cost'!AE44</f>
        <v>2619649536.1255198</v>
      </c>
      <c r="I44" s="240">
        <f>'Interventions cost'!L44+'Interventions cost'!M44+'Interventions cost'!N44+'Interventions cost'!O44</f>
        <v>166134072.64322606</v>
      </c>
      <c r="J44" s="192">
        <f>'Interventions cost'!AF44+'Interventions cost'!AG44+'Interventions cost'!AH44+'Interventions cost'!AI44</f>
        <v>2116102717.4645548</v>
      </c>
      <c r="K44" s="240">
        <f>'Interventions cost'!P44+'Interventions cost'!Q44+'Interventions cost'!R44+'Interventions cost'!S44</f>
        <v>649818176.32428682</v>
      </c>
      <c r="L44" s="192">
        <f>'Interventions cost'!AJ44+'Interventions cost'!AK44+'Interventions cost'!AL44+'Interventions cost'!AM44</f>
        <v>8276941550.2783813</v>
      </c>
      <c r="M44" s="240">
        <f>'Interventions cost'!T44+'Interventions cost'!U44+'Interventions cost'!V44+'Interventions cost'!W44</f>
        <v>21445831.958204869</v>
      </c>
      <c r="N44" s="192">
        <f>'Interventions cost'!AN44+'Interventions cost'!AO44+'Interventions cost'!AP44+'Interventions cost'!AQ44</f>
        <v>273162407.70490682</v>
      </c>
      <c r="O44" s="240">
        <f>'Interventions cost'!AR44+'Interventions cost'!AS44+'Interventions cost'!AT44+'Interventions cost'!AU44</f>
        <v>315095727.70623398</v>
      </c>
      <c r="P44" s="192">
        <f>'Interventions cost'!BL44+'Interventions cost'!BM44+'Interventions cost'!BN44+'Interventions cost'!BO44</f>
        <v>2032617351.3404772</v>
      </c>
      <c r="Q44" s="240">
        <f>'Interventions cost'!AV44+'Interventions cost'!AW44+'Interventions cost'!AX44+'Interventions cost'!AY44</f>
        <v>172363867.20800903</v>
      </c>
      <c r="R44" s="192">
        <f>'Interventions cost'!BP44+'Interventions cost'!BQ44+'Interventions cost'!BR44+'Interventions cost'!BS44</f>
        <v>1111883648.1267009</v>
      </c>
      <c r="S44" s="240">
        <f>'Interventions cost'!AZ44+'Interventions cost'!BA44+'Interventions cost'!BB44+'Interventions cost'!BC44</f>
        <v>55963578.809144974</v>
      </c>
      <c r="T44" s="192">
        <f>'Interventions cost'!BT44+'Interventions cost'!BU44+'Interventions cost'!BV44+'Interventions cost'!BW44</f>
        <v>361009468.95932096</v>
      </c>
      <c r="U44" s="240">
        <f>'Interventions cost'!BD44+'Interventions cost'!BE44+'Interventions cost'!BF44+'Interventions cost'!BG44</f>
        <v>89457781.724820435</v>
      </c>
      <c r="V44" s="192">
        <f>'Interventions cost'!BX44+'Interventions cost'!BY44+'Interventions cost'!BZ44+'Interventions cost'!CA44</f>
        <v>577073642.57196045</v>
      </c>
      <c r="W44" s="240">
        <f>'Interventions cost'!BH44+'Interventions cost'!BI44+'Interventions cost'!BJ44+'Interventions cost'!BK44</f>
        <v>3628865.3936391352</v>
      </c>
      <c r="X44" s="240">
        <f>'Interventions cost'!CB44+'Interventions cost'!CC44+'Interventions cost'!CD44+'Interventions cost'!CE44</f>
        <v>23409059.902159907</v>
      </c>
      <c r="Y44" s="242">
        <f>'Interventions cost'!CF44+'Interventions cost'!CG44+'Interventions cost'!CH44+'Interventions cost'!CI44</f>
        <v>403341329.02985275</v>
      </c>
      <c r="Z44" s="192">
        <f>'Interventions cost'!CJ44+'Interventions cost'!CK44+'Interventions cost'!CL44+'Interventions cost'!CM44</f>
        <v>2601871468.9243536</v>
      </c>
      <c r="AA44" s="196">
        <f>'Food volume'!Y45+'Food volume'!Z45+'Food volume'!AA45+'Food volume'!AB45</f>
        <v>327803537.30995005</v>
      </c>
      <c r="AB44" s="178">
        <f>'Food volume'!AC45+'Food volume'!AD45+'Food volume'!AE45+'Food volume'!AF45</f>
        <v>58762074.090609178</v>
      </c>
      <c r="AC44" s="178">
        <f>'Food volume'!AG45+'Food volume'!AH45+'Food volume'!AI45+'Food volume'!AJ45</f>
        <v>47466877.898064584</v>
      </c>
      <c r="AD44" s="178">
        <f>'Food volume'!AK45+'Food volume'!AL45+'Food volume'!AM45+'Food volume'!AN45</f>
        <v>185662336.09265339</v>
      </c>
      <c r="AE44" s="178">
        <f>'Food volume'!AO45+'Food volume'!AP45+'Food volume'!AQ45+'Food volume'!AR45</f>
        <v>6127380.5594871044</v>
      </c>
      <c r="AF44" s="118">
        <f>SUM('Food volume'!AS45:AV45)</f>
        <v>90027350.773209706</v>
      </c>
      <c r="AG44" s="196">
        <f>'Food volume'!AW45+'Food volume'!AX45+'Food volume'!AY45+'Food volume'!AZ45</f>
        <v>49246819.2022883</v>
      </c>
      <c r="AH44" s="250">
        <f>'Food volume'!BA45+'Food volume'!BB45+'Food volume'!BC45+'Food volume'!BD45</f>
        <v>15989593.945469992</v>
      </c>
      <c r="AI44" s="250">
        <f>'Food volume'!BE45+'Food volume'!BF45+'Food volume'!BG45+'Food volume'!BH45</f>
        <v>25559366.207091555</v>
      </c>
      <c r="AJ44" s="247">
        <f>'Food volume'!BI45+'Food volume'!BJ45+'Food volume'!BK45+'Food volume'!BL45</f>
        <v>1036818.6838968957</v>
      </c>
      <c r="AK44" s="250">
        <f>'Food volume'!BM45+'Food volume'!BN45+'Food volume'!BO45+'Food volume'!BP45</f>
        <v>115240379.7228151</v>
      </c>
      <c r="AL44" s="220"/>
    </row>
    <row r="45" spans="1:38">
      <c r="A45" s="9">
        <v>44</v>
      </c>
      <c r="B45" s="1" t="s">
        <v>528</v>
      </c>
      <c r="C45" s="1" t="s">
        <v>529</v>
      </c>
      <c r="D45" s="1">
        <v>0</v>
      </c>
      <c r="E45" s="191">
        <f>'Interventions cost'!D45+'Interventions cost'!E45+'Interventions cost'!F45+'Interventions cost'!G45</f>
        <v>90099768.362021774</v>
      </c>
      <c r="F45" s="192">
        <f>'Interventions cost'!X45+'Interventions cost'!Y45+'Interventions cost'!Z45+'Interventions cost'!AA45</f>
        <v>1676394383.4549737</v>
      </c>
      <c r="G45" s="240">
        <f>'Interventions cost'!H45+'Interventions cost'!I45+'Interventions cost'!J45+'Interventions cost'!K45</f>
        <v>12125018.204450231</v>
      </c>
      <c r="H45" s="192">
        <f>'Interventions cost'!AB45+'Interventions cost'!AC45+'Interventions cost'!AD45+'Interventions cost'!AE45</f>
        <v>225597832.1227015</v>
      </c>
      <c r="I45" s="240">
        <f>'Interventions cost'!L45+'Interventions cost'!M45+'Interventions cost'!N45+'Interventions cost'!O45</f>
        <v>10694337.590355802</v>
      </c>
      <c r="J45" s="192">
        <f>'Interventions cost'!AF45+'Interventions cost'!AG45+'Interventions cost'!AH45+'Interventions cost'!AI45</f>
        <v>198978618.89288411</v>
      </c>
      <c r="K45" s="240">
        <f>'Interventions cost'!P45+'Interventions cost'!Q45+'Interventions cost'!R45+'Interventions cost'!S45</f>
        <v>62808719.154974692</v>
      </c>
      <c r="L45" s="192">
        <f>'Interventions cost'!AJ45+'Interventions cost'!AK45+'Interventions cost'!AL45+'Interventions cost'!AM45</f>
        <v>1168617699.4410837</v>
      </c>
      <c r="M45" s="240">
        <f>'Interventions cost'!T45+'Interventions cost'!U45+'Interventions cost'!V45+'Interventions cost'!W45</f>
        <v>1033367.0919818206</v>
      </c>
      <c r="N45" s="192">
        <f>'Interventions cost'!AN45+'Interventions cost'!AO45+'Interventions cost'!AP45+'Interventions cost'!AQ45</f>
        <v>19226806.245327972</v>
      </c>
      <c r="O45" s="240">
        <f>'Interventions cost'!AR45+'Interventions cost'!AS45+'Interventions cost'!AT45+'Interventions cost'!AU45</f>
        <v>17586712.192750454</v>
      </c>
      <c r="P45" s="192">
        <f>'Interventions cost'!BL45+'Interventions cost'!BM45+'Interventions cost'!BN45+'Interventions cost'!BO45</f>
        <v>161379006.8371343</v>
      </c>
      <c r="Q45" s="240">
        <f>'Interventions cost'!AV45+'Interventions cost'!AW45+'Interventions cost'!AX45+'Interventions cost'!AY45</f>
        <v>9393789.8398573622</v>
      </c>
      <c r="R45" s="192">
        <f>'Interventions cost'!BP45+'Interventions cost'!BQ45+'Interventions cost'!BR45+'Interventions cost'!BS45</f>
        <v>86199197.335920975</v>
      </c>
      <c r="S45" s="240">
        <f>'Interventions cost'!AZ45+'Interventions cost'!BA45+'Interventions cost'!BB45+'Interventions cost'!BC45</f>
        <v>2890548.1646874105</v>
      </c>
      <c r="T45" s="192">
        <f>'Interventions cost'!BT45+'Interventions cost'!BU45+'Interventions cost'!BV45+'Interventions cost'!BW45</f>
        <v>26524218.22337231</v>
      </c>
      <c r="U45" s="240">
        <f>'Interventions cost'!BD45+'Interventions cost'!BE45+'Interventions cost'!BF45+'Interventions cost'!BG45</f>
        <v>7943411.2663848381</v>
      </c>
      <c r="V45" s="192">
        <f>'Interventions cost'!BX45+'Interventions cost'!BY45+'Interventions cost'!BZ45+'Interventions cost'!CA45</f>
        <v>72890248.445443362</v>
      </c>
      <c r="W45" s="240">
        <f>'Interventions cost'!BH45+'Interventions cost'!BI45+'Interventions cost'!BJ45+'Interventions cost'!BK45</f>
        <v>156712.66282881217</v>
      </c>
      <c r="X45" s="240">
        <f>'Interventions cost'!CB45+'Interventions cost'!CC45+'Interventions cost'!CD45+'Interventions cost'!CE45</f>
        <v>1438025.118563175</v>
      </c>
      <c r="Y45" s="242">
        <f>'Interventions cost'!CF45+'Interventions cost'!CG45+'Interventions cost'!CH45+'Interventions cost'!CI45</f>
        <v>21022085.62773452</v>
      </c>
      <c r="Z45" s="192">
        <f>'Interventions cost'!CJ45+'Interventions cost'!CK45+'Interventions cost'!CL45+'Interventions cost'!CM45</f>
        <v>192902645.08038342</v>
      </c>
      <c r="AA45" s="196">
        <f>'Food volume'!Y46+'Food volume'!Z46+'Food volume'!AA46+'Food volume'!AB46</f>
        <v>25742790.960577644</v>
      </c>
      <c r="AB45" s="178">
        <f>'Food volume'!AC46+'Food volume'!AD46+'Food volume'!AE46+'Food volume'!AF46</f>
        <v>3464290.9155572085</v>
      </c>
      <c r="AC45" s="178">
        <f>'Food volume'!AG46+'Food volume'!AH46+'Food volume'!AI46+'Food volume'!AJ46</f>
        <v>3055525.0258159437</v>
      </c>
      <c r="AD45" s="178">
        <f>'Food volume'!AK46+'Food volume'!AL46+'Food volume'!AM46+'Food volume'!AN46</f>
        <v>17945348.329992771</v>
      </c>
      <c r="AE45" s="178">
        <f>'Food volume'!AO46+'Food volume'!AP46+'Food volume'!AQ46+'Food volume'!AR46</f>
        <v>295247.74056623445</v>
      </c>
      <c r="AF45" s="118">
        <f>SUM('Food volume'!AS46:AV46)</f>
        <v>5024774.9122144151</v>
      </c>
      <c r="AG45" s="196">
        <f>'Food volume'!AW46+'Food volume'!AX46+'Food volume'!AY46+'Food volume'!AZ46</f>
        <v>2683939.9542449601</v>
      </c>
      <c r="AH45" s="250">
        <f>'Food volume'!BA46+'Food volume'!BB46+'Food volume'!BC46+'Food volume'!BD46</f>
        <v>825870.90419640299</v>
      </c>
      <c r="AI45" s="250">
        <f>'Food volume'!BE46+'Food volume'!BF46+'Food volume'!BG46+'Food volume'!BH46</f>
        <v>2269546.0761099537</v>
      </c>
      <c r="AJ45" s="247">
        <f>'Food volume'!BI46+'Food volume'!BJ46+'Food volume'!BK46+'Food volume'!BL46</f>
        <v>44775.046522517761</v>
      </c>
      <c r="AK45" s="250">
        <f>'Food volume'!BM46+'Food volume'!BN46+'Food volume'!BO46+'Food volume'!BP46</f>
        <v>6006310.1793527193</v>
      </c>
      <c r="AL45" s="220"/>
    </row>
    <row r="46" spans="1:38">
      <c r="A46" s="9">
        <v>45</v>
      </c>
      <c r="B46" s="1" t="s">
        <v>533</v>
      </c>
      <c r="C46" s="1" t="s">
        <v>534</v>
      </c>
      <c r="D46" s="1">
        <v>0</v>
      </c>
      <c r="E46" s="191">
        <f>'Interventions cost'!D46+'Interventions cost'!E46+'Interventions cost'!F46+'Interventions cost'!G46</f>
        <v>33882424.683279298</v>
      </c>
      <c r="F46" s="192">
        <f>'Interventions cost'!X46+'Interventions cost'!Y46+'Interventions cost'!Z46+'Interventions cost'!AA46</f>
        <v>332149050.66072053</v>
      </c>
      <c r="G46" s="240">
        <f>'Interventions cost'!H46+'Interventions cost'!I46+'Interventions cost'!J46+'Interventions cost'!K46</f>
        <v>9344839.7145849876</v>
      </c>
      <c r="H46" s="192">
        <f>'Interventions cost'!AB46+'Interventions cost'!AC46+'Interventions cost'!AD46+'Interventions cost'!AE46</f>
        <v>91607364.844457</v>
      </c>
      <c r="I46" s="240">
        <f>'Interventions cost'!L46+'Interventions cost'!M46+'Interventions cost'!N46+'Interventions cost'!O46</f>
        <v>9831152.5478906631</v>
      </c>
      <c r="J46" s="192">
        <f>'Interventions cost'!AF46+'Interventions cost'!AG46+'Interventions cost'!AH46+'Interventions cost'!AI46</f>
        <v>96374684.403683186</v>
      </c>
      <c r="K46" s="240">
        <f>'Interventions cost'!P46+'Interventions cost'!Q46+'Interventions cost'!R46+'Interventions cost'!S46</f>
        <v>17866792.782891534</v>
      </c>
      <c r="L46" s="192">
        <f>'Interventions cost'!AJ46+'Interventions cost'!AK46+'Interventions cost'!AL46+'Interventions cost'!AM46</f>
        <v>175147980.60239863</v>
      </c>
      <c r="M46" s="240">
        <f>'Interventions cost'!T46+'Interventions cost'!U46+'Interventions cost'!V46+'Interventions cost'!W46</f>
        <v>115198.99318764996</v>
      </c>
      <c r="N46" s="192">
        <f>'Interventions cost'!AN46+'Interventions cost'!AO46+'Interventions cost'!AP46+'Interventions cost'!AQ46</f>
        <v>1129294.5112995806</v>
      </c>
      <c r="O46" s="240">
        <f>'Interventions cost'!AR46+'Interventions cost'!AS46+'Interventions cost'!AT46+'Interventions cost'!AU46</f>
        <v>8776105.4577023014</v>
      </c>
      <c r="P46" s="192">
        <f>'Interventions cost'!BL46+'Interventions cost'!BM46+'Interventions cost'!BN46+'Interventions cost'!BO46</f>
        <v>44653656.871897459</v>
      </c>
      <c r="Q46" s="240">
        <f>'Interventions cost'!AV46+'Interventions cost'!AW46+'Interventions cost'!AX46+'Interventions cost'!AY46</f>
        <v>7435379.4855919257</v>
      </c>
      <c r="R46" s="192">
        <f>'Interventions cost'!BP46+'Interventions cost'!BQ46+'Interventions cost'!BR46+'Interventions cost'!BS46</f>
        <v>37831915.974821664</v>
      </c>
      <c r="S46" s="240">
        <f>'Interventions cost'!AZ46+'Interventions cost'!BA46+'Interventions cost'!BB46+'Interventions cost'!BC46</f>
        <v>1995304.8525874969</v>
      </c>
      <c r="T46" s="192">
        <f>'Interventions cost'!BT46+'Interventions cost'!BU46+'Interventions cost'!BV46+'Interventions cost'!BW46</f>
        <v>10152300.319508802</v>
      </c>
      <c r="U46" s="240">
        <f>'Interventions cost'!BD46+'Interventions cost'!BE46+'Interventions cost'!BF46+'Interventions cost'!BG46</f>
        <v>1472296.2448731891</v>
      </c>
      <c r="V46" s="192">
        <f>'Interventions cost'!BX46+'Interventions cost'!BY46+'Interventions cost'!BZ46+'Interventions cost'!CA46</f>
        <v>7491182.9226768427</v>
      </c>
      <c r="W46" s="240">
        <f>'Interventions cost'!BH46+'Interventions cost'!BI46+'Interventions cost'!BJ46+'Interventions cost'!BK46</f>
        <v>31268.677548436637</v>
      </c>
      <c r="X46" s="240">
        <f>'Interventions cost'!CB46+'Interventions cost'!CC46+'Interventions cost'!CD46+'Interventions cost'!CE46</f>
        <v>159097.99680682653</v>
      </c>
      <c r="Y46" s="242">
        <f>'Interventions cost'!CF46+'Interventions cost'!CG46+'Interventions cost'!CH46+'Interventions cost'!CI46</f>
        <v>6067374.1914986605</v>
      </c>
      <c r="Z46" s="192">
        <f>'Interventions cost'!CJ46+'Interventions cost'!CK46+'Interventions cost'!CL46+'Interventions cost'!CM46</f>
        <v>30871375.300396696</v>
      </c>
      <c r="AA46" s="196">
        <f>'Food volume'!Y47+'Food volume'!Z47+'Food volume'!AA47+'Food volume'!AB47</f>
        <v>9680692.7666512281</v>
      </c>
      <c r="AB46" s="178">
        <f>'Food volume'!AC47+'Food volume'!AD47+'Food volume'!AE47+'Food volume'!AF47</f>
        <v>2669954.2041671397</v>
      </c>
      <c r="AC46" s="178">
        <f>'Food volume'!AG47+'Food volume'!AH47+'Food volume'!AI47+'Food volume'!AJ47</f>
        <v>2808900.7279687608</v>
      </c>
      <c r="AD46" s="178">
        <f>'Food volume'!AK47+'Food volume'!AL47+'Food volume'!AM47+'Food volume'!AN47</f>
        <v>5104797.9379690094</v>
      </c>
      <c r="AE46" s="178">
        <f>'Food volume'!AO47+'Food volume'!AP47+'Food volume'!AQ47+'Food volume'!AR47</f>
        <v>32913.998053614276</v>
      </c>
      <c r="AF46" s="118">
        <f>SUM('Food volume'!AS47:AV47)</f>
        <v>2507458.7022006577</v>
      </c>
      <c r="AG46" s="196">
        <f>'Food volume'!AW47+'Food volume'!AX47+'Food volume'!AY47+'Food volume'!AZ47</f>
        <v>2124394.1387405503</v>
      </c>
      <c r="AH46" s="250">
        <f>'Food volume'!BA47+'Food volume'!BB47+'Food volume'!BC47+'Food volume'!BD47</f>
        <v>570087.10073928488</v>
      </c>
      <c r="AI46" s="250">
        <f>'Food volume'!BE47+'Food volume'!BF47+'Food volume'!BG47+'Food volume'!BH47</f>
        <v>420656.06996376836</v>
      </c>
      <c r="AJ46" s="247">
        <f>'Food volume'!BI47+'Food volume'!BJ47+'Food volume'!BK47+'Food volume'!BL47</f>
        <v>8933.9078709818968</v>
      </c>
      <c r="AK46" s="250">
        <f>'Food volume'!BM47+'Food volume'!BN47+'Food volume'!BO47+'Food volume'!BP47</f>
        <v>1733535.4832853316</v>
      </c>
      <c r="AL46" s="220"/>
    </row>
    <row r="47" spans="1:38">
      <c r="A47" s="9">
        <v>46</v>
      </c>
      <c r="B47" s="1" t="s">
        <v>538</v>
      </c>
      <c r="C47" s="1" t="s">
        <v>539</v>
      </c>
      <c r="D47" s="1">
        <v>0</v>
      </c>
      <c r="E47" s="191">
        <f>'Interventions cost'!D47+'Interventions cost'!E47+'Interventions cost'!F47+'Interventions cost'!G47</f>
        <v>555499444.56754637</v>
      </c>
      <c r="F47" s="192">
        <f>'Interventions cost'!X47+'Interventions cost'!Y47+'Interventions cost'!Z47+'Interventions cost'!AA47</f>
        <v>4467544030.8044891</v>
      </c>
      <c r="G47" s="240">
        <f>'Interventions cost'!H47+'Interventions cost'!I47+'Interventions cost'!J47+'Interventions cost'!K47</f>
        <v>140580755.20762694</v>
      </c>
      <c r="H47" s="192">
        <f>'Interventions cost'!AB47+'Interventions cost'!AC47+'Interventions cost'!AD47+'Interventions cost'!AE47</f>
        <v>1130605475.6953993</v>
      </c>
      <c r="I47" s="240">
        <f>'Interventions cost'!L47+'Interventions cost'!M47+'Interventions cost'!N47+'Interventions cost'!O47</f>
        <v>115315224.43942294</v>
      </c>
      <c r="J47" s="192">
        <f>'Interventions cost'!AF47+'Interventions cost'!AG47+'Interventions cost'!AH47+'Interventions cost'!AI47</f>
        <v>927410184.91258061</v>
      </c>
      <c r="K47" s="240">
        <f>'Interventions cost'!P47+'Interventions cost'!Q47+'Interventions cost'!R47+'Interventions cost'!S47</f>
        <v>324399102.38568187</v>
      </c>
      <c r="L47" s="192">
        <f>'Interventions cost'!AJ47+'Interventions cost'!AK47+'Interventions cost'!AL47+'Interventions cost'!AM47</f>
        <v>2608944595.0566792</v>
      </c>
      <c r="M47" s="240">
        <f>'Interventions cost'!T47+'Interventions cost'!U47+'Interventions cost'!V47+'Interventions cost'!W47</f>
        <v>20947116.71774707</v>
      </c>
      <c r="N47" s="192">
        <f>'Interventions cost'!AN47+'Interventions cost'!AO47+'Interventions cost'!AP47+'Interventions cost'!AQ47</f>
        <v>168464914.17788747</v>
      </c>
      <c r="O47" s="240">
        <f>'Interventions cost'!AR47+'Interventions cost'!AS47+'Interventions cost'!AT47+'Interventions cost'!AU47</f>
        <v>125790242.91058537</v>
      </c>
      <c r="P47" s="192">
        <f>'Interventions cost'!BL47+'Interventions cost'!BM47+'Interventions cost'!BN47+'Interventions cost'!BO47</f>
        <v>537184197.02199817</v>
      </c>
      <c r="Q47" s="240">
        <f>'Interventions cost'!AV47+'Interventions cost'!AW47+'Interventions cost'!AX47+'Interventions cost'!AY47</f>
        <v>101285643.09066141</v>
      </c>
      <c r="R47" s="192">
        <f>'Interventions cost'!BP47+'Interventions cost'!BQ47+'Interventions cost'!BR47+'Interventions cost'!BS47</f>
        <v>432537894.78877836</v>
      </c>
      <c r="S47" s="240">
        <f>'Interventions cost'!AZ47+'Interventions cost'!BA47+'Interventions cost'!BB47+'Interventions cost'!BC47</f>
        <v>32372028.711949773</v>
      </c>
      <c r="T47" s="192">
        <f>'Interventions cost'!BT47+'Interventions cost'!BU47+'Interventions cost'!BV47+'Interventions cost'!BW47</f>
        <v>138243967.47498804</v>
      </c>
      <c r="U47" s="240">
        <f>'Interventions cost'!BD47+'Interventions cost'!BE47+'Interventions cost'!BF47+'Interventions cost'!BG47</f>
        <v>34320986.529320575</v>
      </c>
      <c r="V47" s="192">
        <f>'Interventions cost'!BX47+'Interventions cost'!BY47+'Interventions cost'!BZ47+'Interventions cost'!CA47</f>
        <v>146566944.80557698</v>
      </c>
      <c r="W47" s="240">
        <f>'Interventions cost'!BH47+'Interventions cost'!BI47+'Interventions cost'!BJ47+'Interventions cost'!BK47</f>
        <v>3745569.4700939837</v>
      </c>
      <c r="X47" s="240">
        <f>'Interventions cost'!CB47+'Interventions cost'!CC47+'Interventions cost'!CD47+'Interventions cost'!CE47</f>
        <v>15995364.041174222</v>
      </c>
      <c r="Y47" s="242">
        <f>'Interventions cost'!CF47+'Interventions cost'!CG47+'Interventions cost'!CH47+'Interventions cost'!CI47</f>
        <v>112008888.00461987</v>
      </c>
      <c r="Z47" s="192">
        <f>'Interventions cost'!CJ47+'Interventions cost'!CK47+'Interventions cost'!CL47+'Interventions cost'!CM47</f>
        <v>478331253.44116282</v>
      </c>
      <c r="AA47" s="196">
        <f>'Food volume'!Y48+'Food volume'!Z48+'Food volume'!AA48+'Food volume'!AB48</f>
        <v>158714127.01929897</v>
      </c>
      <c r="AB47" s="178">
        <f>'Food volume'!AC48+'Food volume'!AD48+'Food volume'!AE48+'Food volume'!AF48</f>
        <v>40165930.059321985</v>
      </c>
      <c r="AC47" s="178">
        <f>'Food volume'!AG48+'Food volume'!AH48+'Food volume'!AI48+'Food volume'!AJ48</f>
        <v>32947206.982692271</v>
      </c>
      <c r="AD47" s="178">
        <f>'Food volume'!AK48+'Food volume'!AL48+'Food volume'!AM48+'Food volume'!AN48</f>
        <v>92685457.824480534</v>
      </c>
      <c r="AE47" s="178">
        <f>'Food volume'!AO48+'Food volume'!AP48+'Food volume'!AQ48+'Food volume'!AR48</f>
        <v>5984890.490784877</v>
      </c>
      <c r="AF47" s="118">
        <f>SUM('Food volume'!AS48:AV48)</f>
        <v>35940069.40302439</v>
      </c>
      <c r="AG47" s="196">
        <f>'Food volume'!AW48+'Food volume'!AX48+'Food volume'!AY48+'Food volume'!AZ48</f>
        <v>28938755.168760404</v>
      </c>
      <c r="AH47" s="250">
        <f>'Food volume'!BA48+'Food volume'!BB48+'Food volume'!BC48+'Food volume'!BD48</f>
        <v>9249151.0605570767</v>
      </c>
      <c r="AI47" s="250">
        <f>'Food volume'!BE48+'Food volume'!BF48+'Food volume'!BG48+'Food volume'!BH48</f>
        <v>9805996.1512344498</v>
      </c>
      <c r="AJ47" s="247">
        <f>'Food volume'!BI48+'Food volume'!BJ48+'Food volume'!BK48+'Food volume'!BL48</f>
        <v>1070162.7057411382</v>
      </c>
      <c r="AK47" s="250">
        <f>'Food volume'!BM48+'Food volume'!BN48+'Food volume'!BO48+'Food volume'!BP48</f>
        <v>32002539.429891385</v>
      </c>
      <c r="AL47" s="220"/>
    </row>
    <row r="48" spans="1:38">
      <c r="A48" s="9">
        <v>47</v>
      </c>
      <c r="B48" s="1" t="s">
        <v>543</v>
      </c>
      <c r="C48" s="1" t="s">
        <v>544</v>
      </c>
      <c r="D48" s="1">
        <v>0</v>
      </c>
      <c r="E48" s="191">
        <f>'Interventions cost'!D48+'Interventions cost'!E48+'Interventions cost'!F48+'Interventions cost'!G48</f>
        <v>513715368.18590474</v>
      </c>
      <c r="F48" s="192">
        <f>'Interventions cost'!X48+'Interventions cost'!Y48+'Interventions cost'!Z48+'Interventions cost'!AA48</f>
        <v>4131500128.6061621</v>
      </c>
      <c r="G48" s="240">
        <f>'Interventions cost'!H48+'Interventions cost'!I48+'Interventions cost'!J48+'Interventions cost'!K48</f>
        <v>136599979.60122535</v>
      </c>
      <c r="H48" s="192">
        <f>'Interventions cost'!AB48+'Interventions cost'!AC48+'Interventions cost'!AD48+'Interventions cost'!AE48</f>
        <v>1098590519.6549006</v>
      </c>
      <c r="I48" s="240">
        <f>'Interventions cost'!L48+'Interventions cost'!M48+'Interventions cost'!N48+'Interventions cost'!O48</f>
        <v>70830138.888430431</v>
      </c>
      <c r="J48" s="192">
        <f>'Interventions cost'!AF48+'Interventions cost'!AG48+'Interventions cost'!AH48+'Interventions cost'!AI48</f>
        <v>569643709.4341377</v>
      </c>
      <c r="K48" s="240">
        <f>'Interventions cost'!P48+'Interventions cost'!Q48+'Interventions cost'!R48+'Interventions cost'!S48</f>
        <v>317493540.77593559</v>
      </c>
      <c r="L48" s="192">
        <f>'Interventions cost'!AJ48+'Interventions cost'!AK48+'Interventions cost'!AL48+'Interventions cost'!AM48</f>
        <v>2553407364.8205771</v>
      </c>
      <c r="M48" s="240">
        <f>'Interventions cost'!T48+'Interventions cost'!U48+'Interventions cost'!V48+'Interventions cost'!W48</f>
        <v>10306865.731459755</v>
      </c>
      <c r="N48" s="192">
        <f>'Interventions cost'!AN48+'Interventions cost'!AO48+'Interventions cost'!AP48+'Interventions cost'!AQ48</f>
        <v>82891849.713249072</v>
      </c>
      <c r="O48" s="240">
        <f>'Interventions cost'!AR48+'Interventions cost'!AS48+'Interventions cost'!AT48+'Interventions cost'!AU48</f>
        <v>110806155.16141155</v>
      </c>
      <c r="P48" s="192">
        <f>'Interventions cost'!BL48+'Interventions cost'!BM48+'Interventions cost'!BN48+'Interventions cost'!BO48</f>
        <v>473195011.85627222</v>
      </c>
      <c r="Q48" s="240">
        <f>'Interventions cost'!AV48+'Interventions cost'!AW48+'Interventions cost'!AX48+'Interventions cost'!AY48</f>
        <v>108440460.92514613</v>
      </c>
      <c r="R48" s="192">
        <f>'Interventions cost'!BP48+'Interventions cost'!BQ48+'Interventions cost'!BR48+'Interventions cost'!BS48</f>
        <v>463092371.70467365</v>
      </c>
      <c r="S48" s="240">
        <f>'Interventions cost'!AZ48+'Interventions cost'!BA48+'Interventions cost'!BB48+'Interventions cost'!BC48</f>
        <v>17432681.468981676</v>
      </c>
      <c r="T48" s="192">
        <f>'Interventions cost'!BT48+'Interventions cost'!BU48+'Interventions cost'!BV48+'Interventions cost'!BW48</f>
        <v>74445845.561421931</v>
      </c>
      <c r="U48" s="240">
        <f>'Interventions cost'!BD48+'Interventions cost'!BE48+'Interventions cost'!BF48+'Interventions cost'!BG48</f>
        <v>23588846.611388672</v>
      </c>
      <c r="V48" s="192">
        <f>'Interventions cost'!BX48+'Interventions cost'!BY48+'Interventions cost'!BZ48+'Interventions cost'!CA48</f>
        <v>100735600.25336102</v>
      </c>
      <c r="W48" s="240">
        <f>'Interventions cost'!BH48+'Interventions cost'!BI48+'Interventions cost'!BJ48+'Interventions cost'!BK48</f>
        <v>1803704.4208419945</v>
      </c>
      <c r="X48" s="240">
        <f>'Interventions cost'!CB48+'Interventions cost'!CC48+'Interventions cost'!CD48+'Interventions cost'!CE48</f>
        <v>7702676.2056876477</v>
      </c>
      <c r="Y48" s="242">
        <f>'Interventions cost'!CF48+'Interventions cost'!CG48+'Interventions cost'!CH48+'Interventions cost'!CI48</f>
        <v>96107003.388708949</v>
      </c>
      <c r="Z48" s="192">
        <f>'Interventions cost'!CJ48+'Interventions cost'!CK48+'Interventions cost'!CL48+'Interventions cost'!CM48</f>
        <v>410422638.9025408</v>
      </c>
      <c r="AA48" s="196">
        <f>'Food volume'!Y49+'Food volume'!Z49+'Food volume'!AA49+'Food volume'!AB49</f>
        <v>146775819.48168707</v>
      </c>
      <c r="AB48" s="178">
        <f>'Food volume'!AC49+'Food volume'!AD49+'Food volume'!AE49+'Food volume'!AF49</f>
        <v>39028565.600350097</v>
      </c>
      <c r="AC48" s="178">
        <f>'Food volume'!AG49+'Food volume'!AH49+'Food volume'!AI49+'Food volume'!AJ49</f>
        <v>20237182.539551549</v>
      </c>
      <c r="AD48" s="178">
        <f>'Food volume'!AK49+'Food volume'!AL49+'Food volume'!AM49+'Food volume'!AN49</f>
        <v>90712440.22169587</v>
      </c>
      <c r="AE48" s="178">
        <f>'Food volume'!AO49+'Food volume'!AP49+'Food volume'!AQ49+'Food volume'!AR49</f>
        <v>2944818.7804170731</v>
      </c>
      <c r="AF48" s="118">
        <f>SUM('Food volume'!AS49:AV49)</f>
        <v>31658901.474689018</v>
      </c>
      <c r="AG48" s="196">
        <f>'Food volume'!AW49+'Food volume'!AX49+'Food volume'!AY49+'Food volume'!AZ49</f>
        <v>30982988.835756041</v>
      </c>
      <c r="AH48" s="250">
        <f>'Food volume'!BA49+'Food volume'!BB49+'Food volume'!BC49+'Food volume'!BD49</f>
        <v>4980766.1339947646</v>
      </c>
      <c r="AI48" s="250">
        <f>'Food volume'!BE49+'Food volume'!BF49+'Food volume'!BG49+'Food volume'!BH49</f>
        <v>6739670.4603967629</v>
      </c>
      <c r="AJ48" s="247">
        <f>'Food volume'!BI49+'Food volume'!BJ49+'Food volume'!BK49+'Food volume'!BL49</f>
        <v>515344.12024056993</v>
      </c>
      <c r="AK48" s="250">
        <f>'Food volume'!BM49+'Food volume'!BN49+'Food volume'!BO49+'Food volume'!BP49</f>
        <v>27459143.825345416</v>
      </c>
      <c r="AL48" s="220"/>
    </row>
    <row r="49" spans="1:38">
      <c r="A49" s="9">
        <v>48</v>
      </c>
      <c r="B49" s="1" t="s">
        <v>548</v>
      </c>
      <c r="C49" s="1" t="s">
        <v>549</v>
      </c>
      <c r="D49" s="1">
        <v>1</v>
      </c>
      <c r="E49" s="191">
        <f>'Interventions cost'!D49+'Interventions cost'!E49+'Interventions cost'!F49+'Interventions cost'!G49</f>
        <v>57281397.874855921</v>
      </c>
      <c r="F49" s="192">
        <f>'Interventions cost'!X49+'Interventions cost'!Y49+'Interventions cost'!Z49+'Interventions cost'!AA49</f>
        <v>1065776476.6722137</v>
      </c>
      <c r="G49" s="240">
        <f>'Interventions cost'!H49+'Interventions cost'!I49+'Interventions cost'!J49+'Interventions cost'!K49</f>
        <v>13242062.22765629</v>
      </c>
      <c r="H49" s="192">
        <f>'Interventions cost'!AB49+'Interventions cost'!AC49+'Interventions cost'!AD49+'Interventions cost'!AE49</f>
        <v>246381529.57961875</v>
      </c>
      <c r="I49" s="240">
        <f>'Interventions cost'!L49+'Interventions cost'!M49+'Interventions cost'!N49+'Interventions cost'!O49</f>
        <v>12792478.655194392</v>
      </c>
      <c r="J49" s="192">
        <f>'Interventions cost'!AF49+'Interventions cost'!AG49+'Interventions cost'!AH49+'Interventions cost'!AI49</f>
        <v>238016587.14446783</v>
      </c>
      <c r="K49" s="240">
        <f>'Interventions cost'!P49+'Interventions cost'!Q49+'Interventions cost'!R49+'Interventions cost'!S49</f>
        <v>24174184.612449523</v>
      </c>
      <c r="L49" s="192">
        <f>'Interventions cost'!AJ49+'Interventions cost'!AK49+'Interventions cost'!AL49+'Interventions cost'!AM49</f>
        <v>449784367.32581043</v>
      </c>
      <c r="M49" s="240">
        <f>'Interventions cost'!T49+'Interventions cost'!U49+'Interventions cost'!V49+'Interventions cost'!W49</f>
        <v>620160.91741425474</v>
      </c>
      <c r="N49" s="192">
        <f>'Interventions cost'!AN49+'Interventions cost'!AO49+'Interventions cost'!AP49+'Interventions cost'!AQ49</f>
        <v>11538700.905581463</v>
      </c>
      <c r="O49" s="240">
        <f>'Interventions cost'!AR49+'Interventions cost'!AS49+'Interventions cost'!AT49+'Interventions cost'!AU49</f>
        <v>21160166.377172828</v>
      </c>
      <c r="P49" s="192">
        <f>'Interventions cost'!BL49+'Interventions cost'!BM49+'Interventions cost'!BN49+'Interventions cost'!BO49</f>
        <v>194169700.22767052</v>
      </c>
      <c r="Q49" s="240">
        <f>'Interventions cost'!AV49+'Interventions cost'!AW49+'Interventions cost'!AX49+'Interventions cost'!AY49</f>
        <v>14074013.130995188</v>
      </c>
      <c r="R49" s="192">
        <f>'Interventions cost'!BP49+'Interventions cost'!BQ49+'Interventions cost'!BR49+'Interventions cost'!BS49</f>
        <v>129145813.9759084</v>
      </c>
      <c r="S49" s="240">
        <f>'Interventions cost'!AZ49+'Interventions cost'!BA49+'Interventions cost'!BB49+'Interventions cost'!BC49</f>
        <v>3852102.7241607271</v>
      </c>
      <c r="T49" s="192">
        <f>'Interventions cost'!BT49+'Interventions cost'!BU49+'Interventions cost'!BV49+'Interventions cost'!BW49</f>
        <v>35347625.243786722</v>
      </c>
      <c r="U49" s="240">
        <f>'Interventions cost'!BD49+'Interventions cost'!BE49+'Interventions cost'!BF49+'Interventions cost'!BG49</f>
        <v>2781566.5014529265</v>
      </c>
      <c r="V49" s="192">
        <f>'Interventions cost'!BX49+'Interventions cost'!BY49+'Interventions cost'!BZ49+'Interventions cost'!CA49</f>
        <v>25524181.810455419</v>
      </c>
      <c r="W49" s="240">
        <f>'Interventions cost'!BH49+'Interventions cost'!BI49+'Interventions cost'!BJ49+'Interventions cost'!BK49</f>
        <v>149741.58182680907</v>
      </c>
      <c r="X49" s="240">
        <f>'Interventions cost'!CB49+'Interventions cost'!CC49+'Interventions cost'!CD49+'Interventions cost'!CE49</f>
        <v>1374057.1570502655</v>
      </c>
      <c r="Y49" s="242">
        <f>'Interventions cost'!CF49+'Interventions cost'!CG49+'Interventions cost'!CH49+'Interventions cost'!CI49</f>
        <v>12330092.797932392</v>
      </c>
      <c r="Z49" s="192">
        <f>'Interventions cost'!CJ49+'Interventions cost'!CK49+'Interventions cost'!CL49+'Interventions cost'!CM49</f>
        <v>113143270.22195028</v>
      </c>
      <c r="AA49" s="196">
        <f>'Food volume'!Y50+'Food volume'!Z50+'Food volume'!AA50+'Food volume'!AB50</f>
        <v>16366113.678530265</v>
      </c>
      <c r="AB49" s="178">
        <f>'Food volume'!AC50+'Food volume'!AD50+'Food volume'!AE50+'Food volume'!AF50</f>
        <v>3783446.35075894</v>
      </c>
      <c r="AC49" s="178">
        <f>'Food volume'!AG50+'Food volume'!AH50+'Food volume'!AI50+'Food volume'!AJ50</f>
        <v>3654993.9014841123</v>
      </c>
      <c r="AD49" s="178">
        <f>'Food volume'!AK50+'Food volume'!AL50+'Food volume'!AM50+'Food volume'!AN50</f>
        <v>6906909.889271291</v>
      </c>
      <c r="AE49" s="178">
        <f>'Food volume'!AO50+'Food volume'!AP50+'Food volume'!AQ50+'Food volume'!AR50</f>
        <v>177188.83354692993</v>
      </c>
      <c r="AF49" s="118">
        <f>SUM('Food volume'!AS50:AV50)</f>
        <v>6045761.8220493784</v>
      </c>
      <c r="AG49" s="196">
        <f>'Food volume'!AW50+'Food volume'!AX50+'Food volume'!AY50+'Food volume'!AZ50</f>
        <v>4021146.6088557676</v>
      </c>
      <c r="AH49" s="250">
        <f>'Food volume'!BA50+'Food volume'!BB50+'Food volume'!BC50+'Food volume'!BD50</f>
        <v>1100600.7783316362</v>
      </c>
      <c r="AI49" s="250">
        <f>'Food volume'!BE50+'Food volume'!BF50+'Food volume'!BG50+'Food volume'!BH50</f>
        <v>794733.28612940758</v>
      </c>
      <c r="AJ49" s="247">
        <f>'Food volume'!BI50+'Food volume'!BJ50+'Food volume'!BK50+'Food volume'!BL50</f>
        <v>42783.309093374024</v>
      </c>
      <c r="AK49" s="250">
        <f>'Food volume'!BM50+'Food volume'!BN50+'Food volume'!BO50+'Food volume'!BP50</f>
        <v>3522883.6565521117</v>
      </c>
      <c r="AL49" s="220"/>
    </row>
    <row r="50" spans="1:38">
      <c r="A50" s="9">
        <v>49</v>
      </c>
      <c r="B50" s="1" t="s">
        <v>553</v>
      </c>
      <c r="C50" s="1" t="s">
        <v>554</v>
      </c>
      <c r="D50" s="1">
        <v>0</v>
      </c>
      <c r="E50" s="191">
        <f>'Interventions cost'!D50+'Interventions cost'!E50+'Interventions cost'!F50+'Interventions cost'!G50</f>
        <v>394624737.48384815</v>
      </c>
      <c r="F50" s="192">
        <f>'Interventions cost'!X50+'Interventions cost'!Y50+'Interventions cost'!Z50+'Interventions cost'!AA50</f>
        <v>3173726648.3249936</v>
      </c>
      <c r="G50" s="240">
        <f>'Interventions cost'!H50+'Interventions cost'!I50+'Interventions cost'!J50+'Interventions cost'!K50</f>
        <v>105495256.60764943</v>
      </c>
      <c r="H50" s="192">
        <f>'Interventions cost'!AB50+'Interventions cost'!AC50+'Interventions cost'!AD50+'Interventions cost'!AE50</f>
        <v>848434158.74628019</v>
      </c>
      <c r="I50" s="240">
        <f>'Interventions cost'!L50+'Interventions cost'!M50+'Interventions cost'!N50+'Interventions cost'!O50</f>
        <v>90568162.767748848</v>
      </c>
      <c r="J50" s="192">
        <f>'Interventions cost'!AF50+'Interventions cost'!AG50+'Interventions cost'!AH50+'Interventions cost'!AI50</f>
        <v>728384625.60296226</v>
      </c>
      <c r="K50" s="240">
        <f>'Interventions cost'!P50+'Interventions cost'!Q50+'Interventions cost'!R50+'Interventions cost'!S50</f>
        <v>299448046.40165377</v>
      </c>
      <c r="L50" s="192">
        <f>'Interventions cost'!AJ50+'Interventions cost'!AK50+'Interventions cost'!AL50+'Interventions cost'!AM50</f>
        <v>2408278433.6161537</v>
      </c>
      <c r="M50" s="240">
        <f>'Interventions cost'!T50+'Interventions cost'!U50+'Interventions cost'!V50+'Interventions cost'!W50</f>
        <v>4663173.8630289771</v>
      </c>
      <c r="N50" s="192">
        <f>'Interventions cost'!AN50+'Interventions cost'!AO50+'Interventions cost'!AP50+'Interventions cost'!AQ50</f>
        <v>37503070.003241777</v>
      </c>
      <c r="O50" s="240">
        <f>'Interventions cost'!AR50+'Interventions cost'!AS50+'Interventions cost'!AT50+'Interventions cost'!AU50</f>
        <v>89693767.633499235</v>
      </c>
      <c r="P50" s="192">
        <f>'Interventions cost'!BL50+'Interventions cost'!BM50+'Interventions cost'!BN50+'Interventions cost'!BO50</f>
        <v>383035070.36176026</v>
      </c>
      <c r="Q50" s="240">
        <f>'Interventions cost'!AV50+'Interventions cost'!AW50+'Interventions cost'!AX50+'Interventions cost'!AY50</f>
        <v>59737021.402510636</v>
      </c>
      <c r="R50" s="192">
        <f>'Interventions cost'!BP50+'Interventions cost'!BQ50+'Interventions cost'!BR50+'Interventions cost'!BS50</f>
        <v>255105508.44077599</v>
      </c>
      <c r="S50" s="240">
        <f>'Interventions cost'!AZ50+'Interventions cost'!BA50+'Interventions cost'!BB50+'Interventions cost'!BC50</f>
        <v>29820139.828648515</v>
      </c>
      <c r="T50" s="192">
        <f>'Interventions cost'!BT50+'Interventions cost'!BU50+'Interventions cost'!BV50+'Interventions cost'!BW50</f>
        <v>127346187.57611328</v>
      </c>
      <c r="U50" s="240">
        <f>'Interventions cost'!BD50+'Interventions cost'!BE50+'Interventions cost'!BF50+'Interventions cost'!BG50</f>
        <v>26642354.988459133</v>
      </c>
      <c r="V50" s="192">
        <f>'Interventions cost'!BX50+'Interventions cost'!BY50+'Interventions cost'!BZ50+'Interventions cost'!CA50</f>
        <v>113775534.09626248</v>
      </c>
      <c r="W50" s="240">
        <f>'Interventions cost'!BH50+'Interventions cost'!BI50+'Interventions cost'!BJ50+'Interventions cost'!BK50</f>
        <v>808815.58510820707</v>
      </c>
      <c r="X50" s="240">
        <f>'Interventions cost'!CB50+'Interventions cost'!CC50+'Interventions cost'!CD50+'Interventions cost'!CE50</f>
        <v>3454027.4394260487</v>
      </c>
      <c r="Y50" s="242">
        <f>'Interventions cost'!CF50+'Interventions cost'!CG50+'Interventions cost'!CH50+'Interventions cost'!CI50</f>
        <v>81080935.543416366</v>
      </c>
      <c r="Z50" s="192">
        <f>'Interventions cost'!CJ50+'Interventions cost'!CK50+'Interventions cost'!CL50+'Interventions cost'!CM50</f>
        <v>346254178.74932241</v>
      </c>
      <c r="AA50" s="196">
        <f>'Food volume'!Y51+'Food volume'!Z51+'Food volume'!AA51+'Food volume'!AB51</f>
        <v>112749924.9953852</v>
      </c>
      <c r="AB50" s="178">
        <f>'Food volume'!AC51+'Food volume'!AD51+'Food volume'!AE51+'Food volume'!AF51</f>
        <v>30141501.887899838</v>
      </c>
      <c r="AC50" s="178">
        <f>'Food volume'!AG51+'Food volume'!AH51+'Food volume'!AI51+'Food volume'!AJ51</f>
        <v>25876617.933642525</v>
      </c>
      <c r="AD50" s="178">
        <f>'Food volume'!AK51+'Food volume'!AL51+'Food volume'!AM51+'Food volume'!AN51</f>
        <v>85556584.68618679</v>
      </c>
      <c r="AE50" s="178">
        <f>'Food volume'!AO51+'Food volume'!AP51+'Food volume'!AQ51+'Food volume'!AR51</f>
        <v>1332335.3894368508</v>
      </c>
      <c r="AF50" s="118">
        <f>SUM('Food volume'!AS51:AV51)</f>
        <v>25626790.752428353</v>
      </c>
      <c r="AG50" s="196">
        <f>'Food volume'!AW51+'Food volume'!AX51+'Food volume'!AY51+'Food volume'!AZ51</f>
        <v>17067720.400717326</v>
      </c>
      <c r="AH50" s="250">
        <f>'Food volume'!BA51+'Food volume'!BB51+'Food volume'!BC51+'Food volume'!BD51</f>
        <v>8520039.9510424323</v>
      </c>
      <c r="AI50" s="250">
        <f>'Food volume'!BE51+'Food volume'!BF51+'Food volume'!BG51+'Food volume'!BH51</f>
        <v>7612101.4252740368</v>
      </c>
      <c r="AJ50" s="247">
        <f>'Food volume'!BI51+'Food volume'!BJ51+'Food volume'!BK51+'Food volume'!BL51</f>
        <v>231090.16717377346</v>
      </c>
      <c r="AK50" s="250">
        <f>'Food volume'!BM51+'Food volume'!BN51+'Food volume'!BO51+'Food volume'!BP51</f>
        <v>23165981.583833247</v>
      </c>
      <c r="AL50" s="220"/>
    </row>
    <row r="51" spans="1:38">
      <c r="A51" s="13">
        <v>50</v>
      </c>
      <c r="B51" s="14" t="s">
        <v>558</v>
      </c>
      <c r="C51" s="14" t="s">
        <v>559</v>
      </c>
      <c r="D51" s="14">
        <v>0</v>
      </c>
      <c r="E51" s="306">
        <f>'Interventions cost'!D51+'Interventions cost'!E51+'Interventions cost'!F51+'Interventions cost'!G51</f>
        <v>31392344.819875106</v>
      </c>
      <c r="F51" s="288">
        <f>'Interventions cost'!X51+'Interventions cost'!Y51+'Interventions cost'!Z51+'Interventions cost'!AA51</f>
        <v>307738824.10726976</v>
      </c>
      <c r="G51" s="287">
        <f>'Interventions cost'!H51+'Interventions cost'!I51+'Interventions cost'!J51+'Interventions cost'!K51</f>
        <v>6682827.4726930577</v>
      </c>
      <c r="H51" s="288">
        <f>'Interventions cost'!AB51+'Interventions cost'!AC51+'Interventions cost'!AD51+'Interventions cost'!AE51</f>
        <v>65511687.003905088</v>
      </c>
      <c r="I51" s="287">
        <f>'Interventions cost'!L51+'Interventions cost'!M51+'Interventions cost'!N51+'Interventions cost'!O51</f>
        <v>7492274.7785916869</v>
      </c>
      <c r="J51" s="288">
        <f>'Interventions cost'!AF51+'Interventions cost'!AG51+'Interventions cost'!AH51+'Interventions cost'!AI51</f>
        <v>73446690.378878623</v>
      </c>
      <c r="K51" s="287">
        <f>'Interventions cost'!P51+'Interventions cost'!Q51+'Interventions cost'!R51+'Interventions cost'!S51</f>
        <v>18337334.978121251</v>
      </c>
      <c r="L51" s="288">
        <f>'Interventions cost'!AJ51+'Interventions cost'!AK51+'Interventions cost'!AL51+'Interventions cost'!AM51</f>
        <v>179760700.76343513</v>
      </c>
      <c r="M51" s="287">
        <f>'Interventions cost'!T51+'Interventions cost'!U51+'Interventions cost'!V51+'Interventions cost'!W51</f>
        <v>507426.63138141809</v>
      </c>
      <c r="N51" s="288">
        <f>'Interventions cost'!AN51+'Interventions cost'!AO51+'Interventions cost'!AP51+'Interventions cost'!AQ51</f>
        <v>4974297.8983578812</v>
      </c>
      <c r="O51" s="287">
        <f>'Interventions cost'!AR51+'Interventions cost'!AS51+'Interventions cost'!AT51+'Interventions cost'!AU51</f>
        <v>8443241.953766901</v>
      </c>
      <c r="P51" s="288">
        <f>'Interventions cost'!BL51+'Interventions cost'!BM51+'Interventions cost'!BN51+'Interventions cost'!BO51</f>
        <v>42960015.795961678</v>
      </c>
      <c r="Q51" s="287">
        <f>'Interventions cost'!AV51+'Interventions cost'!AW51+'Interventions cost'!AX51+'Interventions cost'!AY51</f>
        <v>5500010.2179626292</v>
      </c>
      <c r="R51" s="288">
        <f>'Interventions cost'!BP51+'Interventions cost'!BQ51+'Interventions cost'!BR51+'Interventions cost'!BS51</f>
        <v>27984573.595715806</v>
      </c>
      <c r="S51" s="287">
        <f>'Interventions cost'!AZ51+'Interventions cost'!BA51+'Interventions cost'!BB51+'Interventions cost'!BC51</f>
        <v>2301715.7671820968</v>
      </c>
      <c r="T51" s="288">
        <f>'Interventions cost'!BT51+'Interventions cost'!BU51+'Interventions cost'!BV51+'Interventions cost'!BW51</f>
        <v>11711348.112183547</v>
      </c>
      <c r="U51" s="287">
        <f>'Interventions cost'!BD51+'Interventions cost'!BE51+'Interventions cost'!BF51+'Interventions cost'!BG51</f>
        <v>2011282.9973022155</v>
      </c>
      <c r="V51" s="288">
        <f>'Interventions cost'!BX51+'Interventions cost'!BY51+'Interventions cost'!BZ51+'Interventions cost'!CA51</f>
        <v>10233598.635143148</v>
      </c>
      <c r="W51" s="287">
        <f>'Interventions cost'!BH51+'Interventions cost'!BI51+'Interventions cost'!BJ51+'Interventions cost'!BK51</f>
        <v>138580.30601737311</v>
      </c>
      <c r="X51" s="287">
        <f>'Interventions cost'!CB51+'Interventions cost'!CC51+'Interventions cost'!CD51+'Interventions cost'!CE51</f>
        <v>705109.73961364117</v>
      </c>
      <c r="Y51" s="306">
        <f>'Interventions cost'!CF51+'Interventions cost'!CG51+'Interventions cost'!CH51+'Interventions cost'!CI51</f>
        <v>7828418.7118286043</v>
      </c>
      <c r="Z51" s="288">
        <f>'Interventions cost'!CJ51+'Interventions cost'!CK51+'Interventions cost'!CL51+'Interventions cost'!CM51</f>
        <v>39831736.832735986</v>
      </c>
      <c r="AA51" s="307">
        <f>'Food volume'!Y52+'Food volume'!Z52+'Food volume'!AA52+'Food volume'!AB52</f>
        <v>8969241.3771071732</v>
      </c>
      <c r="AB51" s="244">
        <f>'Food volume'!AC52+'Food volume'!AD52+'Food volume'!AE52+'Food volume'!AF52</f>
        <v>1909379.2779123024</v>
      </c>
      <c r="AC51" s="244">
        <f>'Food volume'!AG52+'Food volume'!AH52+'Food volume'!AI52+'Food volume'!AJ52</f>
        <v>2140649.9367404818</v>
      </c>
      <c r="AD51" s="244">
        <f>'Food volume'!AK52+'Food volume'!AL52+'Food volume'!AM52+'Food volume'!AN52</f>
        <v>5239238.5651775012</v>
      </c>
      <c r="AE51" s="244">
        <f>'Food volume'!AO52+'Food volume'!AP52+'Food volume'!AQ52+'Food volume'!AR52</f>
        <v>144979.03753754805</v>
      </c>
      <c r="AF51" s="22">
        <f>SUM('Food volume'!AS52:AV52)</f>
        <v>2412354.8439334007</v>
      </c>
      <c r="AG51" s="308">
        <f>'Food volume'!AW52+'Food volume'!AX52+'Food volume'!AY52+'Food volume'!AZ52</f>
        <v>1571431.4908464653</v>
      </c>
      <c r="AH51" s="307">
        <f>'Food volume'!BA52+'Food volume'!BB52+'Food volume'!BC52+'Food volume'!BD52</f>
        <v>657633.07633774192</v>
      </c>
      <c r="AI51" s="307">
        <f>'Food volume'!BE52+'Food volume'!BF52+'Food volume'!BG52+'Food volume'!BH52</f>
        <v>574652.28494349017</v>
      </c>
      <c r="AJ51" s="289">
        <f>'Food volume'!BI52+'Food volume'!BJ52+'Food volume'!BK52+'Food volume'!BL52</f>
        <v>39594.373147820879</v>
      </c>
      <c r="AK51" s="307">
        <f>'Food volume'!BM52+'Food volume'!BN52+'Food volume'!BO52+'Food volume'!BP52</f>
        <v>2236691.0605224585</v>
      </c>
      <c r="AL51" s="220"/>
    </row>
    <row r="52" spans="1:38" s="4" customFormat="1">
      <c r="E52" s="253"/>
      <c r="F52" s="253"/>
      <c r="AA52" s="218"/>
    </row>
    <row r="53" spans="1:38" s="4" customFormat="1">
      <c r="E53" s="253"/>
      <c r="F53" s="253"/>
      <c r="AA53" s="218"/>
    </row>
    <row r="54" spans="1:38" s="4" customFormat="1">
      <c r="E54" s="253"/>
      <c r="F54" s="253"/>
    </row>
    <row r="55" spans="1:38" s="4" customFormat="1"/>
    <row r="56" spans="1:38" s="4" customFormat="1"/>
    <row r="57" spans="1:38" s="4" customFormat="1"/>
    <row r="58" spans="1:38" s="4" customFormat="1"/>
    <row r="59" spans="1:38" s="4" customFormat="1"/>
    <row r="60" spans="1:38" s="4" customFormat="1"/>
    <row r="61" spans="1:38" s="4" customFormat="1"/>
    <row r="62" spans="1:38" s="4" customFormat="1"/>
    <row r="63" spans="1:38" s="4" customFormat="1"/>
    <row r="64" spans="1:38"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pans="1:4" s="4" customFormat="1"/>
    <row r="146" spans="1:4" s="4" customFormat="1"/>
    <row r="147" spans="1:4" s="4" customFormat="1"/>
    <row r="148" spans="1:4" s="4" customFormat="1"/>
    <row r="149" spans="1:4" s="4" customFormat="1"/>
    <row r="150" spans="1:4" s="4" customFormat="1"/>
    <row r="151" spans="1:4">
      <c r="A151" s="4"/>
      <c r="B151" s="4"/>
      <c r="C151" s="4"/>
      <c r="D151" s="4"/>
    </row>
    <row r="152" spans="1:4">
      <c r="A152" s="4"/>
      <c r="B152" s="4"/>
      <c r="C152" s="4"/>
      <c r="D152" s="4"/>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C7A69-C12B-4C04-924E-F3AE6B1C25DD}">
  <sheetPr>
    <tabColor theme="0"/>
  </sheetPr>
  <dimension ref="A1:FL152"/>
  <sheetViews>
    <sheetView workbookViewId="0">
      <pane xSplit="2" ySplit="1" topLeftCell="BL24" activePane="bottomRight" state="frozen"/>
      <selection pane="bottomRight" activeCell="BL2" sqref="BL2:BO51"/>
      <selection pane="bottomLeft" activeCell="A2" sqref="A2"/>
      <selection pane="topRight" activeCell="C1" sqref="C1"/>
    </sheetView>
  </sheetViews>
  <sheetFormatPr defaultColWidth="11.42578125" defaultRowHeight="12.95"/>
  <cols>
    <col min="1" max="1" width="7.42578125" style="1" customWidth="1"/>
    <col min="2" max="2" width="15.42578125" style="1" customWidth="1"/>
    <col min="3" max="3" width="13.42578125" style="1" customWidth="1"/>
    <col min="4" max="4" width="26.140625" style="1" customWidth="1"/>
    <col min="5" max="5" width="25.42578125" style="1" customWidth="1"/>
    <col min="6" max="6" width="22.140625" style="1" customWidth="1"/>
    <col min="7" max="23" width="24.42578125" style="1" customWidth="1"/>
    <col min="24" max="24" width="22.42578125" style="1" customWidth="1"/>
    <col min="25" max="26" width="20.85546875" style="4" customWidth="1"/>
    <col min="27" max="29" width="21.85546875" style="4" customWidth="1"/>
    <col min="30" max="30" width="25.140625" style="4" customWidth="1"/>
    <col min="31" max="33" width="21.85546875" style="4" customWidth="1"/>
    <col min="34" max="34" width="24.42578125" style="4" customWidth="1"/>
    <col min="35" max="37" width="21.85546875" style="4" customWidth="1"/>
    <col min="38" max="38" width="24.42578125" style="4" customWidth="1"/>
    <col min="39" max="41" width="21.85546875" style="4" customWidth="1"/>
    <col min="42" max="42" width="26.7109375" style="4" customWidth="1"/>
    <col min="43" max="43" width="21.85546875" style="4" customWidth="1"/>
    <col min="44" max="44" width="26.140625" style="1" customWidth="1"/>
    <col min="45" max="45" width="22.28515625" style="1" customWidth="1"/>
    <col min="46" max="46" width="26.42578125" style="1" customWidth="1"/>
    <col min="47" max="63" width="25.85546875" style="1" customWidth="1"/>
    <col min="64" max="64" width="22.42578125" style="1" customWidth="1"/>
    <col min="65" max="66" width="20.85546875" style="4" customWidth="1"/>
    <col min="67" max="67" width="21.85546875" style="220" customWidth="1"/>
    <col min="68" max="68" width="22.42578125" style="243" customWidth="1"/>
    <col min="69" max="70" width="24.42578125" style="4" customWidth="1"/>
    <col min="71" max="71" width="21.85546875" style="4" customWidth="1"/>
    <col min="72" max="72" width="22.42578125" style="243" customWidth="1"/>
    <col min="73" max="74" width="24.42578125" style="4" customWidth="1"/>
    <col min="75" max="75" width="21.85546875" style="4" customWidth="1"/>
    <col min="76" max="76" width="22.42578125" style="243" customWidth="1"/>
    <col min="77" max="78" width="24.42578125" style="4" customWidth="1"/>
    <col min="79" max="79" width="21.85546875" style="4" customWidth="1"/>
    <col min="80" max="80" width="22.42578125" style="243" customWidth="1"/>
    <col min="81" max="82" width="24.42578125" style="4" customWidth="1"/>
    <col min="83" max="85" width="22.42578125" style="4" customWidth="1"/>
    <col min="86" max="86" width="25.42578125" style="4" customWidth="1"/>
    <col min="87" max="87" width="24.28515625" style="4" customWidth="1"/>
    <col min="88" max="88" width="21.28515625" style="4" customWidth="1"/>
    <col min="89" max="89" width="23.28515625" style="4" customWidth="1"/>
    <col min="90" max="90" width="25.5703125" style="4" customWidth="1"/>
    <col min="91" max="91" width="23.42578125" style="4" customWidth="1"/>
    <col min="92" max="168" width="11.42578125" style="4"/>
    <col min="169" max="16384" width="11.42578125" style="1"/>
  </cols>
  <sheetData>
    <row r="1" spans="1:91" ht="44.45" customHeight="1">
      <c r="A1" s="5" t="s">
        <v>278</v>
      </c>
      <c r="B1" s="6" t="s">
        <v>279</v>
      </c>
      <c r="C1" s="6" t="s">
        <v>280</v>
      </c>
      <c r="D1" s="162" t="s">
        <v>750</v>
      </c>
      <c r="E1" s="136" t="s">
        <v>751</v>
      </c>
      <c r="F1" s="136" t="s">
        <v>752</v>
      </c>
      <c r="G1" s="137" t="s">
        <v>753</v>
      </c>
      <c r="H1" s="233" t="s">
        <v>754</v>
      </c>
      <c r="I1" s="136" t="s">
        <v>755</v>
      </c>
      <c r="J1" s="136" t="s">
        <v>756</v>
      </c>
      <c r="K1" s="228" t="s">
        <v>757</v>
      </c>
      <c r="L1" s="233" t="s">
        <v>758</v>
      </c>
      <c r="M1" s="136" t="s">
        <v>759</v>
      </c>
      <c r="N1" s="136" t="s">
        <v>760</v>
      </c>
      <c r="O1" s="228" t="s">
        <v>761</v>
      </c>
      <c r="P1" s="233" t="s">
        <v>762</v>
      </c>
      <c r="Q1" s="136" t="s">
        <v>763</v>
      </c>
      <c r="R1" s="136" t="s">
        <v>764</v>
      </c>
      <c r="S1" s="228" t="s">
        <v>765</v>
      </c>
      <c r="T1" s="233" t="s">
        <v>766</v>
      </c>
      <c r="U1" s="136" t="s">
        <v>767</v>
      </c>
      <c r="V1" s="136" t="s">
        <v>768</v>
      </c>
      <c r="W1" s="228" t="s">
        <v>769</v>
      </c>
      <c r="X1" s="136" t="s">
        <v>770</v>
      </c>
      <c r="Y1" s="136" t="s">
        <v>771</v>
      </c>
      <c r="Z1" s="136" t="s">
        <v>772</v>
      </c>
      <c r="AA1" s="137" t="s">
        <v>773</v>
      </c>
      <c r="AB1" s="136" t="s">
        <v>774</v>
      </c>
      <c r="AC1" s="136" t="s">
        <v>775</v>
      </c>
      <c r="AD1" s="136" t="s">
        <v>776</v>
      </c>
      <c r="AE1" s="228" t="s">
        <v>777</v>
      </c>
      <c r="AF1" s="136" t="s">
        <v>778</v>
      </c>
      <c r="AG1" s="136" t="s">
        <v>779</v>
      </c>
      <c r="AH1" s="136" t="s">
        <v>780</v>
      </c>
      <c r="AI1" s="228" t="s">
        <v>781</v>
      </c>
      <c r="AJ1" s="136" t="s">
        <v>782</v>
      </c>
      <c r="AK1" s="136" t="s">
        <v>783</v>
      </c>
      <c r="AL1" s="136" t="s">
        <v>784</v>
      </c>
      <c r="AM1" s="228" t="s">
        <v>785</v>
      </c>
      <c r="AN1" s="136" t="s">
        <v>786</v>
      </c>
      <c r="AO1" s="136" t="s">
        <v>787</v>
      </c>
      <c r="AP1" s="136" t="s">
        <v>788</v>
      </c>
      <c r="AQ1" s="228" t="s">
        <v>789</v>
      </c>
      <c r="AR1" s="136" t="s">
        <v>790</v>
      </c>
      <c r="AS1" s="136" t="s">
        <v>791</v>
      </c>
      <c r="AT1" s="136" t="s">
        <v>792</v>
      </c>
      <c r="AU1" s="137" t="s">
        <v>793</v>
      </c>
      <c r="AV1" s="136" t="s">
        <v>794</v>
      </c>
      <c r="AW1" s="136" t="s">
        <v>795</v>
      </c>
      <c r="AX1" s="136" t="s">
        <v>796</v>
      </c>
      <c r="AY1" s="228" t="s">
        <v>797</v>
      </c>
      <c r="AZ1" s="136" t="s">
        <v>798</v>
      </c>
      <c r="BA1" s="136" t="s">
        <v>799</v>
      </c>
      <c r="BB1" s="136" t="s">
        <v>800</v>
      </c>
      <c r="BC1" s="228" t="s">
        <v>801</v>
      </c>
      <c r="BD1" s="136" t="s">
        <v>802</v>
      </c>
      <c r="BE1" s="136" t="s">
        <v>803</v>
      </c>
      <c r="BF1" s="136" t="s">
        <v>804</v>
      </c>
      <c r="BG1" s="228" t="s">
        <v>805</v>
      </c>
      <c r="BH1" s="136" t="s">
        <v>806</v>
      </c>
      <c r="BI1" s="136" t="s">
        <v>807</v>
      </c>
      <c r="BJ1" s="136" t="s">
        <v>808</v>
      </c>
      <c r="BK1" s="228" t="s">
        <v>809</v>
      </c>
      <c r="BL1" s="136" t="s">
        <v>810</v>
      </c>
      <c r="BM1" s="136" t="s">
        <v>811</v>
      </c>
      <c r="BN1" s="136" t="s">
        <v>812</v>
      </c>
      <c r="BO1" s="137" t="s">
        <v>813</v>
      </c>
      <c r="BP1" s="136" t="s">
        <v>814</v>
      </c>
      <c r="BQ1" s="136" t="s">
        <v>815</v>
      </c>
      <c r="BR1" s="136" t="s">
        <v>816</v>
      </c>
      <c r="BS1" s="137" t="s">
        <v>817</v>
      </c>
      <c r="BT1" s="136" t="s">
        <v>818</v>
      </c>
      <c r="BU1" s="136" t="s">
        <v>819</v>
      </c>
      <c r="BV1" s="136" t="s">
        <v>820</v>
      </c>
      <c r="BW1" s="137" t="s">
        <v>821</v>
      </c>
      <c r="BX1" s="136" t="s">
        <v>822</v>
      </c>
      <c r="BY1" s="136" t="s">
        <v>823</v>
      </c>
      <c r="BZ1" s="136" t="s">
        <v>824</v>
      </c>
      <c r="CA1" s="137" t="s">
        <v>825</v>
      </c>
      <c r="CB1" s="136" t="s">
        <v>826</v>
      </c>
      <c r="CC1" s="136" t="s">
        <v>827</v>
      </c>
      <c r="CD1" s="136" t="s">
        <v>828</v>
      </c>
      <c r="CE1" s="136" t="s">
        <v>829</v>
      </c>
      <c r="CF1" s="233" t="s">
        <v>830</v>
      </c>
      <c r="CG1" s="232" t="s">
        <v>831</v>
      </c>
      <c r="CH1" s="232" t="s">
        <v>832</v>
      </c>
      <c r="CI1" s="232" t="s">
        <v>833</v>
      </c>
      <c r="CJ1" s="233" t="s">
        <v>834</v>
      </c>
      <c r="CK1" s="232" t="s">
        <v>835</v>
      </c>
      <c r="CL1" s="232" t="s">
        <v>836</v>
      </c>
      <c r="CM1" s="228" t="s">
        <v>837</v>
      </c>
    </row>
    <row r="2" spans="1:91">
      <c r="A2" s="9">
        <v>1</v>
      </c>
      <c r="B2" s="1" t="s">
        <v>304</v>
      </c>
      <c r="C2" s="1" t="s">
        <v>305</v>
      </c>
      <c r="D2" s="78">
        <f>'FIM interventions data'!E3*'Assumptions data'!$L3*'Local food sourcing'!$I2</f>
        <v>26736525.399447031</v>
      </c>
      <c r="E2" s="118">
        <f>'FIM interventions data'!G3*'Assumptions data'!$N3*'Local food sourcing'!$I2</f>
        <v>61728619.279869907</v>
      </c>
      <c r="F2" s="118">
        <f>'FIM interventions data'!I3*'Assumptions data'!$R2*'Local food sourcing'!$K2</f>
        <v>3821186.4596251352</v>
      </c>
      <c r="G2" s="178">
        <f>'FIM interventions data'!K3*'Assumptions data'!$P2*'Local food sourcing'!$L2</f>
        <v>46020447.327422589</v>
      </c>
      <c r="H2" s="247">
        <f>'FIM interventions data'!L3*'Assumptions data'!$L3*'Local food sourcing'!$I2</f>
        <v>5823857.2042321526</v>
      </c>
      <c r="I2" s="234">
        <f>'FIM interventions data'!M3*'Assumptions data'!$N3*'Local food sourcing'!$I2</f>
        <v>13445975.448545359</v>
      </c>
      <c r="J2" s="234">
        <f>'FIM interventions data'!N3*'Assumptions data'!$R2*'Local food sourcing'!$K2</f>
        <v>832346.16163184983</v>
      </c>
      <c r="K2" s="235">
        <f>'FIM interventions data'!O3*'Assumptions data'!$P2*'Local food sourcing'!$L2</f>
        <v>10024358.427491836</v>
      </c>
      <c r="L2" s="247">
        <f>'FIM interventions data'!P3*'Assumptions data'!$L3*'Local food sourcing'!$I2</f>
        <v>4750312.0299349288</v>
      </c>
      <c r="M2" s="234">
        <f>'FIM interventions data'!Q3*'Assumptions data'!$N3*'Local food sourcing'!$I2</f>
        <v>10967401.275055127</v>
      </c>
      <c r="N2" s="234">
        <f>'FIM interventions data'!R3*'Assumptions data'!$R2*'Local food sourcing'!$K2</f>
        <v>678914.99499621417</v>
      </c>
      <c r="O2" s="235">
        <f>'FIM interventions data'!S3*'Assumptions data'!$P2*'Local food sourcing'!$L2</f>
        <v>8176510.6458808444</v>
      </c>
      <c r="P2" s="247">
        <f>'FIM interventions data'!T3*'Assumptions data'!$L3*'Local food sourcing'!$I2</f>
        <v>13867669.84739092</v>
      </c>
      <c r="Q2" s="234">
        <f>'FIM interventions data'!U3*'Assumptions data'!$N3*'Local food sourcing'!$I2</f>
        <v>32017328.337145492</v>
      </c>
      <c r="R2" s="234">
        <f>'FIM interventions data'!V3*'Assumptions data'!$R2*'Local food sourcing'!$K2</f>
        <v>1981968.5413759076</v>
      </c>
      <c r="S2" s="235">
        <f>'FIM interventions data'!W3*'Assumptions data'!$P2*'Local food sourcing'!$L2</f>
        <v>23869832.008131448</v>
      </c>
      <c r="T2" s="247">
        <f>'FIM interventions data'!X3*'Assumptions data'!$L3*'Local food sourcing'!$I2</f>
        <v>390378.4939690961</v>
      </c>
      <c r="U2" s="234">
        <f>'FIM interventions data'!Y3*'Assumptions data'!$N3*'Local food sourcing'!$I2</f>
        <v>901296.07603259129</v>
      </c>
      <c r="V2" s="234">
        <f>'FIM interventions data'!Z3*'Assumptions data'!$R2*'Local food sourcing'!$K2</f>
        <v>55792.927203413426</v>
      </c>
      <c r="W2" s="235">
        <f>'FIM interventions data'!AA3*'Assumptions data'!$P2*'Local food sourcing'!$L2</f>
        <v>671941.9464967167</v>
      </c>
      <c r="X2" s="118">
        <f>'FIM interventions data'!E3*'Assumptions data'!$S3+D2</f>
        <v>654376459.15146613</v>
      </c>
      <c r="Y2" s="118">
        <f>'FIM interventions data'!G3*'Assumptions data'!$T3+E2</f>
        <v>787039895.81834137</v>
      </c>
      <c r="Z2" s="118">
        <f>'FIM interventions data'!I3*'Assumptions data'!$U2+F2</f>
        <v>545155934.90651929</v>
      </c>
      <c r="AA2" s="178">
        <f>'FIM interventions data'!K3*'Assumptions data'!$V3+G2</f>
        <v>586760703.42463803</v>
      </c>
      <c r="AB2" s="234">
        <f>'FIM interventions data'!L3*'Assumptions data'!$S3+H2</f>
        <v>142538905.07358196</v>
      </c>
      <c r="AC2" s="234">
        <f>'FIM interventions data'!M3*'Assumptions data'!$T3+I2</f>
        <v>171436186.96895334</v>
      </c>
      <c r="AD2" s="234">
        <f>'FIM interventions data'!N3*'Assumptions data'!$U2+J2</f>
        <v>118748052.39281058</v>
      </c>
      <c r="AE2" s="235">
        <f>'FIM interventions data'!O3*'Assumptions data'!$V3+K2</f>
        <v>127810569.95052093</v>
      </c>
      <c r="AF2" s="234">
        <f>'FIM interventions data'!P3*'Assumptions data'!$S3+L2</f>
        <v>116263886.93265739</v>
      </c>
      <c r="AG2" s="234">
        <f>'FIM interventions data'!Q3*'Assumptions data'!$T3+M2</f>
        <v>139834366.25695288</v>
      </c>
      <c r="AH2" s="234">
        <f>'FIM interventions data'!R3*'Assumptions data'!$U2+N2</f>
        <v>96858539.286126569</v>
      </c>
      <c r="AI2" s="235">
        <f>'FIM interventions data'!S3*'Assumptions data'!$V3+O2</f>
        <v>104250510.73498078</v>
      </c>
      <c r="AJ2" s="234">
        <f>'FIM interventions data'!T3*'Assumptions data'!$S3+P2</f>
        <v>339411219.51489282</v>
      </c>
      <c r="AK2" s="234">
        <f>'FIM interventions data'!U3*'Assumptions data'!$T3+Q2</f>
        <v>408220936.29860508</v>
      </c>
      <c r="AL2" s="234">
        <f>'FIM interventions data'!V3*'Assumptions data'!$U2+R2</f>
        <v>282760845.23629618</v>
      </c>
      <c r="AM2" s="235">
        <f>'FIM interventions data'!W3*'Assumptions data'!$V3+S2</f>
        <v>304340358.10367602</v>
      </c>
      <c r="AN2" s="234">
        <f>'FIM interventions data'!X3*'Assumptions data'!$S3+T2</f>
        <v>9554513.6398936268</v>
      </c>
      <c r="AO2" s="234">
        <f>'FIM interventions data'!Y3*'Assumptions data'!$T3+U2</f>
        <v>11491524.969415542</v>
      </c>
      <c r="AP2" s="234">
        <f>'FIM interventions data'!Z3*'Assumptions data'!$U2+V2</f>
        <v>7959790.9476869823</v>
      </c>
      <c r="AQ2" s="235">
        <f>'FIM interventions data'!AA3*'Assumptions data'!$V3+W2</f>
        <v>8567259.8178331368</v>
      </c>
      <c r="AR2" s="118">
        <f>'FIM interventions data'!AB3*'Assumptions data'!$L3*'Local food sourcing'!$I2</f>
        <v>9166025.1037250832</v>
      </c>
      <c r="AS2" s="118">
        <f>'FIM interventions data'!AC3*'Assumptions data'!$N3*'Local food sourcing'!$I2</f>
        <v>21162288.872034129</v>
      </c>
      <c r="AT2" s="118">
        <f>'FIM interventions data'!AD3*'Assumptions data'!$R2*'Local food sourcing'!$K2</f>
        <v>1310009.0790280011</v>
      </c>
      <c r="AU2" s="178">
        <f>'FIM interventions data'!AE3*'Assumptions data'!$P2*'Local food sourcing'!$L2</f>
        <v>15777090.298223181</v>
      </c>
      <c r="AV2" s="234">
        <f>'FIM interventions data'!AF3*'Assumptions data'!$L3*'Local food sourcing'!$I2</f>
        <v>5298178.2049260242</v>
      </c>
      <c r="AW2" s="234">
        <f>'FIM interventions data'!AG3*'Assumptions data'!$N3*'Local food sourcing'!$I2</f>
        <v>12232300.959179506</v>
      </c>
      <c r="AX2" s="234">
        <f>'FIM interventions data'!AH3*'Assumptions data'!$R2*'Local food sourcing'!$K2</f>
        <v>757216.07482186321</v>
      </c>
      <c r="AY2" s="235">
        <f>'FIM interventions data'!AI3*'Assumptions data'!$P2*'Local food sourcing'!$L2</f>
        <v>9119529.4589827023</v>
      </c>
      <c r="AZ2" s="234">
        <f>'FIM interventions data'!AJ3*'Assumptions data'!$L3*'Local food sourcing'!$I2</f>
        <v>2493250.3277964182</v>
      </c>
      <c r="BA2" s="234">
        <f>'FIM interventions data'!AK3*'Assumptions data'!$N3*'Local food sourcing'!$I2</f>
        <v>5756353.8251361195</v>
      </c>
      <c r="BB2" s="234">
        <f>'FIM interventions data'!AL3*'Assumptions data'!$R2*'Local food sourcing'!$K2</f>
        <v>356335.54662374512</v>
      </c>
      <c r="BC2" s="235">
        <f>'FIM interventions data'!AM3*'Assumptions data'!$P2*'Local food sourcing'!$L2</f>
        <v>4291526.0554689448</v>
      </c>
      <c r="BD2" s="234">
        <f>'FIM interventions data'!AN3*'Assumptions data'!$L3*'Local food sourcing'!$I2</f>
        <v>2125277.8007429573</v>
      </c>
      <c r="BE2" s="234">
        <f>'FIM interventions data'!AO3*'Assumptions data'!$N3*'Local food sourcing'!$I2</f>
        <v>4906788.0835680505</v>
      </c>
      <c r="BF2" s="234">
        <f>'FIM interventions data'!AP3*'Assumptions data'!$R2*'Local food sourcing'!$K2</f>
        <v>303744.88209708931</v>
      </c>
      <c r="BG2" s="235">
        <f>'FIM interventions data'!AQ3*'Assumptions data'!$P2*'Local food sourcing'!$L2</f>
        <v>3658150.5496318014</v>
      </c>
      <c r="BH2" s="234">
        <f>'FIM interventions data'!AR3*'Assumptions data'!$L3*'Local food sourcing'!$I2</f>
        <v>102381.44842462761</v>
      </c>
      <c r="BI2" s="234">
        <f>'FIM interventions data'!AS3*'Assumptions data'!$N3*'Local food sourcing'!$I2</f>
        <v>236375.72035654951</v>
      </c>
      <c r="BJ2" s="234">
        <f>'FIM interventions data'!AT3*'Assumptions data'!$R2*'Local food sourcing'!$K2</f>
        <v>14632.365222935341</v>
      </c>
      <c r="BK2" s="235">
        <f>'FIM interventions data'!AU3*'Assumptions data'!$P2*'Local food sourcing'!$L2</f>
        <v>176224.84538055398</v>
      </c>
      <c r="BL2" s="118">
        <f>'FIM interventions data'!AB3*'Assumptions data'!$S3*'Assumptions data'!$W3+AR2</f>
        <v>170545354.58618483</v>
      </c>
      <c r="BM2" s="118">
        <f>'FIM interventions data'!AC3*'Assumptions data'!$T3*'Assumptions data'!$X3+AS2</f>
        <v>145490735.99523464</v>
      </c>
      <c r="BN2" s="234">
        <f>'FIM interventions data'!AD3*'Assumptions data'!$U2*'Assumptions data'!$Z3+AT2</f>
        <v>10589240.055476343</v>
      </c>
      <c r="BO2" s="235">
        <f>'FIM interventions data'!AE3*'Assumptions data'!$V3*'Assumptions data'!$Y3+AU2</f>
        <v>108467495.80028437</v>
      </c>
      <c r="BP2" s="234">
        <f>'FIM interventions data'!AF3*'Assumptions data'!$S3*'Assumptions data'!$W3+AV2</f>
        <v>98579228.225404844</v>
      </c>
      <c r="BQ2" s="234">
        <f>'FIM interventions data'!AG3*'Assumptions data'!$T3*'Assumptions data'!$X3+AW2</f>
        <v>84097069.094359115</v>
      </c>
      <c r="BR2" s="234">
        <f>'FIM interventions data'!AH3*'Assumptions data'!$U2*'Assumptions data'!$Z3+AX2</f>
        <v>6120829.9381433949</v>
      </c>
      <c r="BS2" s="235">
        <f>'FIM interventions data'!AI3*'Assumptions data'!$V3*'Assumptions data'!$Y3+AY2</f>
        <v>62696765.030506074</v>
      </c>
      <c r="BT2" s="234">
        <f>'FIM interventions data'!AJ3*'Assumptions data'!$S3*'Assumptions data'!$W3+AZ2</f>
        <v>46390038.911562115</v>
      </c>
      <c r="BU2" s="234">
        <f>'FIM interventions data'!AK3*'Assumptions data'!$T3*'Assumptions data'!$X3+BA2</f>
        <v>39574932.547810823</v>
      </c>
      <c r="BV2" s="234">
        <f>'FIM interventions data'!AL3*'Assumptions data'!$U2*'Assumptions data'!$Z3+BB2</f>
        <v>2880379.001875273</v>
      </c>
      <c r="BW2" s="235">
        <f>'FIM interventions data'!AM3*'Assumptions data'!$V3*'Assumptions data'!$Y3+BC2</f>
        <v>29504241.631348997</v>
      </c>
      <c r="BX2" s="234">
        <f>'FIM interventions data'!AN3*'Assumptions data'!$S3*'Assumptions data'!$W3+BD2</f>
        <v>39543450.08007364</v>
      </c>
      <c r="BY2" s="234">
        <f>'FIM interventions data'!AO3*'Assumptions data'!$T3*'Assumptions data'!$X3+BE2</f>
        <v>33734168.074530348</v>
      </c>
      <c r="BZ2" s="234">
        <f>'FIM interventions data'!AP3*'Assumptions data'!$U2*'Assumptions data'!$Z3+BF2</f>
        <v>2455271.1302848053</v>
      </c>
      <c r="CA2" s="235">
        <f>'FIM interventions data'!AQ3*'Assumptions data'!$V3*'Assumptions data'!$Y3+BG2</f>
        <v>25149785.028718635</v>
      </c>
      <c r="CB2" s="234">
        <f>'FIM interventions data'!AR3*'Assumptions data'!$S3*'Assumptions data'!$W3+BH2</f>
        <v>1904934.8247507275</v>
      </c>
      <c r="CC2" s="234">
        <f>'FIM interventions data'!AS3*'Assumptions data'!$T3*'Assumptions data'!$X3+BI2</f>
        <v>1625083.077451278</v>
      </c>
      <c r="CD2" s="234">
        <f>'FIM interventions data'!AT3*'Assumptions data'!$U2*'Assumptions data'!$Z3+BJ2</f>
        <v>118278.2855520607</v>
      </c>
      <c r="CE2" s="234">
        <f>'FIM interventions data'!AU3*'Assumptions data'!$V3*'Assumptions data'!$Y3+BK2</f>
        <v>1211545.8119913086</v>
      </c>
      <c r="CF2" s="247">
        <f>'FIM interventions data'!AV3*'Assumptions data'!$L3*'Local food sourcing'!$I2</f>
        <v>5830328.1566813029</v>
      </c>
      <c r="CG2" s="234">
        <f>'FIM interventions data'!AW3*'Assumptions data'!$N3*'Local food sourcing'!$I2</f>
        <v>13460915.421265969</v>
      </c>
      <c r="CH2" s="234">
        <f>'FIM interventions data'!AX3*'Assumptions data'!$R2*'Local food sourcing'!$K2</f>
        <v>833270.99070033012</v>
      </c>
      <c r="CI2" s="234">
        <f>'FIM interventions data'!AY3*'Assumptions data'!$P2*'Local food sourcing'!$L2</f>
        <v>10035496.603522388</v>
      </c>
      <c r="CJ2" s="247">
        <f>'FIM interventions data'!AV3*'Assumptions data'!$S3*'Assumptions data'!$W3+CF2</f>
        <v>108480543.26525147</v>
      </c>
      <c r="CK2" s="234">
        <f>'FIM interventions data'!AW3*'Assumptions data'!$T3*'Assumptions data'!$X3+CG2</f>
        <v>92543793.521203548</v>
      </c>
      <c r="CL2" s="234">
        <f>'FIM interventions data'!AX3*'Assumptions data'!$U2*'Assumptions data'!$Z3+CH2</f>
        <v>6735607.1748276688</v>
      </c>
      <c r="CM2" s="235">
        <f>'FIM interventions data'!AY3*'Assumptions data'!$V3*'Assumptions data'!$Y3+CI2</f>
        <v>68994039.149216413</v>
      </c>
    </row>
    <row r="3" spans="1:91">
      <c r="A3" s="9">
        <v>2</v>
      </c>
      <c r="B3" s="1" t="s">
        <v>314</v>
      </c>
      <c r="C3" s="1" t="s">
        <v>315</v>
      </c>
      <c r="D3" s="78">
        <f>'FIM interventions data'!E4*'Assumptions data'!L4*'Local food sourcing'!I3</f>
        <v>3366061.6290683434</v>
      </c>
      <c r="E3" s="118">
        <f>'FIM interventions data'!G4*'Assumptions data'!N4*'Local food sourcing'!I3</f>
        <v>7771478.667068528</v>
      </c>
      <c r="F3" s="118">
        <f>'FIM interventions data'!I4*'Assumptions data'!$R3*'Local food sourcing'!$K3</f>
        <v>481077.8112374206</v>
      </c>
      <c r="G3" s="178">
        <f>'FIM interventions data'!K4*'Assumptions data'!$P3*'Local food sourcing'!$L3</f>
        <v>5793859.1341641489</v>
      </c>
      <c r="H3" s="247">
        <f>'FIM interventions data'!L4*'Assumptions data'!$L4*'Local food sourcing'!$I3</f>
        <v>1029500.7596953054</v>
      </c>
      <c r="I3" s="234">
        <f>'FIM interventions data'!M4*'Assumptions data'!$N4*'Local food sourcing'!$I3</f>
        <v>2376885.5337082311</v>
      </c>
      <c r="J3" s="234">
        <f>'FIM interventions data'!N4*'Assumptions data'!$R3*'Local food sourcing'!$K3</f>
        <v>147136.33519495593</v>
      </c>
      <c r="K3" s="235">
        <f>'FIM interventions data'!O4*'Assumptions data'!$P3*'Local food sourcing'!$L3</f>
        <v>1772035.9985923683</v>
      </c>
      <c r="L3" s="247">
        <f>'FIM interventions data'!P4*'Assumptions data'!$L4*'Local food sourcing'!$I3</f>
        <v>705199.73513713153</v>
      </c>
      <c r="M3" s="234">
        <f>'FIM interventions data'!Q4*'Assumptions data'!$N4*'Local food sourcing'!$I3</f>
        <v>1628147.4618031483</v>
      </c>
      <c r="N3" s="234">
        <f>'FIM interventions data'!R4*'Assumptions data'!$R3*'Local food sourcing'!$K3</f>
        <v>100787.2054793242</v>
      </c>
      <c r="O3" s="235">
        <f>'FIM interventions data'!S4*'Assumptions data'!$P3*'Local food sourcing'!$L3</f>
        <v>1213830.3979791603</v>
      </c>
      <c r="P3" s="247">
        <f>'FIM interventions data'!T4*'Assumptions data'!$L4*'Local food sourcing'!$I3</f>
        <v>2052621.6216984552</v>
      </c>
      <c r="Q3" s="234">
        <f>'FIM interventions data'!U4*'Assumptions data'!$N4*'Local food sourcing'!$I3</f>
        <v>4739041.31963511</v>
      </c>
      <c r="R3" s="234">
        <f>'FIM interventions data'!V4*'Assumptions data'!$R3*'Local food sourcing'!$K3</f>
        <v>293360.8548749623</v>
      </c>
      <c r="S3" s="235">
        <f>'FIM interventions data'!W4*'Assumptions data'!$P3*'Local food sourcing'!$L3</f>
        <v>3533090.5498459488</v>
      </c>
      <c r="T3" s="247">
        <f>'FIM interventions data'!X4*'Assumptions data'!$L4*'Local food sourcing'!$I3</f>
        <v>241447.92225131707</v>
      </c>
      <c r="U3" s="234">
        <f>'FIM interventions data'!Y4*'Assumptions data'!$N4*'Local food sourcing'!$I3</f>
        <v>557448.90728678717</v>
      </c>
      <c r="V3" s="234">
        <f>'FIM interventions data'!Z4*'Assumptions data'!$R3*'Local food sourcing'!$K3</f>
        <v>34507.757362908378</v>
      </c>
      <c r="W3" s="235">
        <f>'FIM interventions data'!AA4*'Assumptions data'!$P3*'Local food sourcing'!$L3</f>
        <v>415594.06924701482</v>
      </c>
      <c r="X3" s="118">
        <f>'FIM interventions data'!E4*'Assumptions data'!S4+D3</f>
        <v>82384358.371447712</v>
      </c>
      <c r="Y3" s="118">
        <f>'FIM interventions data'!G4*'Assumptions data'!T4+E3</f>
        <v>99086353.005123734</v>
      </c>
      <c r="Z3" s="118">
        <f>'FIM interventions data'!I4*'Assumptions data'!U3+F3</f>
        <v>68633767.736538678</v>
      </c>
      <c r="AA3" s="178">
        <f>'FIM interventions data'!K4*'Assumptions data'!$V4+G3</f>
        <v>73871703.960592911</v>
      </c>
      <c r="AB3" s="234">
        <f>'FIM interventions data'!L4*'Assumptions data'!$S4+H3</f>
        <v>25197031.093542598</v>
      </c>
      <c r="AC3" s="234">
        <f>'FIM interventions data'!M4*'Assumptions data'!$T4+I3</f>
        <v>30305290.554779947</v>
      </c>
      <c r="AD3" s="234">
        <f>'FIM interventions data'!N4*'Assumptions data'!$U3+J3</f>
        <v>20991450.487813711</v>
      </c>
      <c r="AE3" s="235">
        <f>'FIM interventions data'!O4*'Assumptions data'!$V4+K3</f>
        <v>22593458.982052699</v>
      </c>
      <c r="AF3" s="234">
        <f>'FIM interventions data'!P4*'Assumptions data'!$S4+L3</f>
        <v>17259763.517481294</v>
      </c>
      <c r="AG3" s="234">
        <f>'FIM interventions data'!Q4*'Assumptions data'!$T4+M3</f>
        <v>20758880.137990143</v>
      </c>
      <c r="AH3" s="234">
        <f>'FIM interventions data'!R4*'Assumptions data'!$U3+N3</f>
        <v>14378974.648383586</v>
      </c>
      <c r="AI3" s="235">
        <f>'FIM interventions data'!S4*'Assumptions data'!$V4+O3</f>
        <v>15476337.574234296</v>
      </c>
      <c r="AJ3" s="234">
        <f>'FIM interventions data'!T4*'Assumptions data'!$S4+P3</f>
        <v>50237914.191069685</v>
      </c>
      <c r="AK3" s="234">
        <f>'FIM interventions data'!U4*'Assumptions data'!$T4+Q3</f>
        <v>60422776.825347655</v>
      </c>
      <c r="AL3" s="234">
        <f>'FIM interventions data'!V4*'Assumptions data'!$U3+R3</f>
        <v>41852815.295494616</v>
      </c>
      <c r="AM3" s="235">
        <f>'FIM interventions data'!W4*'Assumptions data'!$V4+S3</f>
        <v>45046904.510535851</v>
      </c>
      <c r="AN3" s="234">
        <f>'FIM interventions data'!X4*'Assumptions data'!$S4+T3</f>
        <v>5909437.8971009841</v>
      </c>
      <c r="AO3" s="234">
        <f>'FIM interventions data'!Y4*'Assumptions data'!$T4+U3</f>
        <v>7107473.5679065371</v>
      </c>
      <c r="AP3" s="234">
        <f>'FIM interventions data'!Z4*'Assumptions data'!$U3+V3</f>
        <v>4923106.7171082618</v>
      </c>
      <c r="AQ3" s="235">
        <f>'FIM interventions data'!AA4*'Assumptions data'!$V4+W3</f>
        <v>5298824.382899439</v>
      </c>
      <c r="AR3" s="118">
        <f>'FIM interventions data'!AB4*'Assumptions data'!$L4*'Local food sourcing'!$I3</f>
        <v>877129.92598725343</v>
      </c>
      <c r="AS3" s="118">
        <f>'FIM interventions data'!AC4*'Assumptions data'!$N4*'Local food sourcing'!$I3</f>
        <v>2025095.5743623835</v>
      </c>
      <c r="AT3" s="118">
        <f>'FIM interventions data'!AD4*'Assumptions data'!$R3*'Local food sourcing'!$K3</f>
        <v>125359.48282134706</v>
      </c>
      <c r="AU3" s="178">
        <f>'FIM interventions data'!AE4*'Assumptions data'!$P3*'Local food sourcing'!$L3</f>
        <v>1509766.54427345</v>
      </c>
      <c r="AV3" s="234">
        <f>'FIM interventions data'!AF4*'Assumptions data'!$L4*'Local food sourcing'!$I3</f>
        <v>721668.40793468105</v>
      </c>
      <c r="AW3" s="234">
        <f>'FIM interventions data'!AG4*'Assumptions data'!$N4*'Local food sourcing'!$I3</f>
        <v>1666169.9205174623</v>
      </c>
      <c r="AX3" s="234">
        <f>'FIM interventions data'!AH4*'Assumptions data'!$R3*'Local food sourcing'!$K3</f>
        <v>103140.90958117787</v>
      </c>
      <c r="AY3" s="235">
        <f>'FIM interventions data'!AI4*'Assumptions data'!$P3*'Local food sourcing'!$L3</f>
        <v>1242177.2260620592</v>
      </c>
      <c r="AZ3" s="234">
        <f>'FIM interventions data'!AJ4*'Assumptions data'!$L4*'Local food sourcing'!$I3</f>
        <v>133520.60931565694</v>
      </c>
      <c r="BA3" s="234">
        <f>'FIM interventions data'!AK4*'Assumptions data'!$N4*'Local food sourcing'!$I3</f>
        <v>308269.03403958777</v>
      </c>
      <c r="BB3" s="234">
        <f>'FIM interventions data'!AL4*'Assumptions data'!$R3*'Local food sourcing'!$K3</f>
        <v>19082.776717442805</v>
      </c>
      <c r="BC3" s="235">
        <f>'FIM interventions data'!AM4*'Assumptions data'!$P3*'Local food sourcing'!$L3</f>
        <v>229823.36247265866</v>
      </c>
      <c r="BD3" s="234">
        <f>'FIM interventions data'!AN4*'Assumptions data'!$L4*'Local food sourcing'!$I3</f>
        <v>154301.55256885811</v>
      </c>
      <c r="BE3" s="234">
        <f>'FIM interventions data'!AO4*'Assumptions data'!$N4*'Local food sourcing'!$I3</f>
        <v>356247.55462850339</v>
      </c>
      <c r="BF3" s="234">
        <f>'FIM interventions data'!AP4*'Assumptions data'!$R3*'Local food sourcing'!$K3</f>
        <v>22052.79087564052</v>
      </c>
      <c r="BG3" s="235">
        <f>'FIM interventions data'!AQ4*'Assumptions data'!$P3*'Local food sourcing'!$L3</f>
        <v>265592.71881609288</v>
      </c>
      <c r="BH3" s="234">
        <f>'FIM interventions data'!AR4*'Assumptions data'!$L4*'Local food sourcing'!$I3</f>
        <v>42863.419284893782</v>
      </c>
      <c r="BI3" s="234">
        <f>'FIM interventions data'!AS4*'Assumptions data'!$N4*'Local food sourcing'!$I3</f>
        <v>98961.987413868133</v>
      </c>
      <c r="BJ3" s="234">
        <f>'FIM interventions data'!AT4*'Assumptions data'!$R3*'Local food sourcing'!$K3</f>
        <v>6126.0434906047503</v>
      </c>
      <c r="BK3" s="235">
        <f>'FIM interventions data'!AU4*'Assumptions data'!$P3*'Local food sourcing'!$L3</f>
        <v>73778.985863080088</v>
      </c>
      <c r="BL3" s="118">
        <f>'FIM interventions data'!AB4*'Assumptions data'!$S4*'Assumptions data'!$W4+AR3</f>
        <v>16320098.685400335</v>
      </c>
      <c r="BM3" s="118">
        <f>'FIM interventions data'!AC4*'Assumptions data'!$T4*'Assumptions data'!$X4+AS3</f>
        <v>13922532.073741388</v>
      </c>
      <c r="BN3" s="234">
        <f>'FIM interventions data'!AD4*'Assumptions data'!$U3*'Assumptions data'!$Z4+AT3</f>
        <v>1013322.4861392222</v>
      </c>
      <c r="BO3" s="235">
        <f>'FIM interventions data'!AE4*'Assumptions data'!$V4*'Assumptions data'!$Y4+AU3</f>
        <v>10379644.99187997</v>
      </c>
      <c r="BP3" s="234">
        <f>'FIM interventions data'!AF4*'Assumptions data'!$S4*'Assumptions data'!$W4+AV3</f>
        <v>13427542.815134658</v>
      </c>
      <c r="BQ3" s="234">
        <f>'FIM interventions data'!AG4*'Assumptions data'!$T4*'Assumptions data'!$X4+AW3</f>
        <v>11454918.203557555</v>
      </c>
      <c r="BR3" s="234">
        <f>'FIM interventions data'!AH4*'Assumptions data'!$U3*'Assumptions data'!$Z4+AX3</f>
        <v>833722.35244785447</v>
      </c>
      <c r="BS3" s="235">
        <f>'FIM interventions data'!AI4*'Assumptions data'!$V4*'Assumptions data'!$Y4+AY3</f>
        <v>8539968.4291766584</v>
      </c>
      <c r="BT3" s="234">
        <f>'FIM interventions data'!AJ4*'Assumptions data'!$S4*'Assumptions data'!$W4+AZ3</f>
        <v>2484317.8370794421</v>
      </c>
      <c r="BU3" s="234">
        <f>'FIM interventions data'!AK4*'Assumptions data'!$T4*'Assumptions data'!$X4+BA3</f>
        <v>2119349.6090221661</v>
      </c>
      <c r="BV3" s="234">
        <f>'FIM interventions data'!AL4*'Assumptions data'!$U3*'Assumptions data'!$Z4+BB3</f>
        <v>154252.44513266269</v>
      </c>
      <c r="BW3" s="235">
        <f>'FIM interventions data'!AM4*'Assumptions data'!$V4*'Assumptions data'!$Y4+BC3</f>
        <v>1580035.6169995286</v>
      </c>
      <c r="BX3" s="234">
        <f>'FIM interventions data'!AN4*'Assumptions data'!$S4*'Assumptions data'!$W4+BD3</f>
        <v>2870973.2624843158</v>
      </c>
      <c r="BY3" s="234">
        <f>'FIM interventions data'!AO4*'Assumptions data'!$T4*'Assumptions data'!$X4+BE3</f>
        <v>2449201.9380709608</v>
      </c>
      <c r="BZ3" s="234">
        <f>'FIM interventions data'!AP4*'Assumptions data'!$U3*'Assumptions data'!$Z4+BF3</f>
        <v>178260.05957809419</v>
      </c>
      <c r="CA3" s="235">
        <f>'FIM interventions data'!AQ4*'Assumptions data'!$V4*'Assumptions data'!$Y4+BG3</f>
        <v>1825949.941860639</v>
      </c>
      <c r="CB3" s="234">
        <f>'FIM interventions data'!AR4*'Assumptions data'!$S4*'Assumptions data'!$W4+BH3</f>
        <v>797527.49506955501</v>
      </c>
      <c r="CC3" s="234">
        <f>'FIM interventions data'!AS4*'Assumptions data'!$T4*'Assumptions data'!$X4+BI3</f>
        <v>680363.66347034345</v>
      </c>
      <c r="CD3" s="234">
        <f>'FIM interventions data'!AT4*'Assumptions data'!$U3*'Assumptions data'!$Z4+BJ3</f>
        <v>49518.851549055071</v>
      </c>
      <c r="CE3" s="234">
        <f>'FIM interventions data'!AU4*'Assumptions data'!$V4*'Assumptions data'!$Y4+BK3</f>
        <v>507230.52780867566</v>
      </c>
      <c r="CF3" s="247">
        <f>'FIM interventions data'!AV4*'Assumptions data'!$L4*'Local food sourcing'!$I3</f>
        <v>756627.76389113301</v>
      </c>
      <c r="CG3" s="234">
        <f>'FIM interventions data'!AW4*'Assumptions data'!$N4*'Local food sourcing'!$I3</f>
        <v>1746883.2047555819</v>
      </c>
      <c r="CH3" s="234">
        <f>'FIM interventions data'!AX4*'Assumptions data'!$R3*'Local food sourcing'!$K3</f>
        <v>108137.30367585602</v>
      </c>
      <c r="CI3" s="234">
        <f>'FIM interventions data'!AY4*'Assumptions data'!$P3*'Local food sourcing'!$L3</f>
        <v>1302351.2829134329</v>
      </c>
      <c r="CJ3" s="247">
        <f>'FIM interventions data'!AV4*'Assumptions data'!$S4*'Assumptions data'!$W4+CF3</f>
        <v>14078005.331899395</v>
      </c>
      <c r="CK3" s="234">
        <f>'FIM interventions data'!AW4*'Assumptions data'!$T4*'Assumptions data'!$X4+CG3</f>
        <v>12009822.032694627</v>
      </c>
      <c r="CL3" s="234">
        <f>'FIM interventions data'!AX4*'Assumptions data'!$U3*'Assumptions data'!$Z4+CH3</f>
        <v>874109.87137983611</v>
      </c>
      <c r="CM3" s="235">
        <f>'FIM interventions data'!AY4*'Assumptions data'!$V4*'Assumptions data'!$Y4+CI3</f>
        <v>8953665.070029851</v>
      </c>
    </row>
    <row r="4" spans="1:91">
      <c r="A4" s="9">
        <v>3</v>
      </c>
      <c r="B4" s="1" t="s">
        <v>321</v>
      </c>
      <c r="C4" s="1" t="s">
        <v>322</v>
      </c>
      <c r="D4" s="78">
        <f>'FIM interventions data'!E5*'Assumptions data'!L5*'Local food sourcing'!I4</f>
        <v>47937120.066462256</v>
      </c>
      <c r="E4" s="118">
        <f>'FIM interventions data'!G5*'Assumptions data'!N5*'Local food sourcing'!I4</f>
        <v>110676020.5279801</v>
      </c>
      <c r="F4" s="118">
        <f>'FIM interventions data'!I5*'Assumptions data'!$R4*'Local food sourcing'!$K4</f>
        <v>6851177.2331934525</v>
      </c>
      <c r="G4" s="178">
        <f>'FIM interventions data'!K5*'Assumptions data'!$P4*'Local food sourcing'!$L4</f>
        <v>82512131.852876633</v>
      </c>
      <c r="H4" s="247">
        <f>'FIM interventions data'!L5*'Assumptions data'!$L5*'Local food sourcing'!$I4</f>
        <v>15820370.439247936</v>
      </c>
      <c r="I4" s="234">
        <f>'FIM interventions data'!M5*'Assumptions data'!$N5*'Local food sourcing'!$I4</f>
        <v>36525674.489140674</v>
      </c>
      <c r="J4" s="234">
        <f>'FIM interventions data'!N5*'Assumptions data'!$R4*'Local food sourcing'!$K4</f>
        <v>2261048.674258857</v>
      </c>
      <c r="K4" s="235">
        <f>'FIM interventions data'!O5*'Assumptions data'!$P4*'Local food sourcing'!$L4</f>
        <v>27230932.726762649</v>
      </c>
      <c r="L4" s="247">
        <f>'FIM interventions data'!P5*'Assumptions data'!$L5*'Local food sourcing'!$I4</f>
        <v>14655634.340341924</v>
      </c>
      <c r="M4" s="234">
        <f>'FIM interventions data'!Q5*'Assumptions data'!$N5*'Local food sourcing'!$I4</f>
        <v>33836560.996017247</v>
      </c>
      <c r="N4" s="234">
        <f>'FIM interventions data'!R5*'Assumptions data'!$R4*'Local food sourcing'!$K4</f>
        <v>2094584.4930055849</v>
      </c>
      <c r="O4" s="235">
        <f>'FIM interventions data'!S5*'Assumptions data'!$P4*'Local food sourcing'!$L4</f>
        <v>25226121.87384754</v>
      </c>
      <c r="P4" s="247">
        <f>'FIM interventions data'!T5*'Assumptions data'!$L5*'Local food sourcing'!$I4</f>
        <v>29905574.081548989</v>
      </c>
      <c r="Q4" s="234">
        <f>'FIM interventions data'!U5*'Assumptions data'!$N5*'Local food sourcing'!$I4</f>
        <v>69045239.396143168</v>
      </c>
      <c r="R4" s="234">
        <f>'FIM interventions data'!V5*'Assumptions data'!$R4*'Local food sourcing'!$K4</f>
        <v>4274107.1639060033</v>
      </c>
      <c r="S4" s="235">
        <f>'FIM interventions data'!W5*'Assumptions data'!$P4*'Local food sourcing'!$L4</f>
        <v>51475196.430899106</v>
      </c>
      <c r="T4" s="247">
        <f>'FIM interventions data'!X5*'Assumptions data'!$L5*'Local food sourcing'!$I4</f>
        <v>869544.3354521523</v>
      </c>
      <c r="U4" s="234">
        <f>'FIM interventions data'!Y5*'Assumptions data'!$N5*'Local food sourcing'!$I4</f>
        <v>2007582.1531844789</v>
      </c>
      <c r="V4" s="234">
        <f>'FIM interventions data'!Z5*'Assumptions data'!$R4*'Local food sourcing'!$K4</f>
        <v>124275.34958384011</v>
      </c>
      <c r="W4" s="235">
        <f>'FIM interventions data'!AA5*'Assumptions data'!$P4*'Local food sourcing'!$L4</f>
        <v>1496709.7889751252</v>
      </c>
      <c r="X4" s="118">
        <f>'FIM interventions data'!E5*'Assumptions data'!S5+D4</f>
        <v>798153049.10659671</v>
      </c>
      <c r="Y4" s="118">
        <f>'FIM interventions data'!G5*'Assumptions data'!T5+E4</f>
        <v>977638181.33049095</v>
      </c>
      <c r="Z4" s="118">
        <f>'FIM interventions data'!I5*'Assumptions data'!U4+F4</f>
        <v>653906804.81257498</v>
      </c>
      <c r="AA4" s="178">
        <f>'FIM interventions data'!K5*'Assumptions data'!$V5+G4</f>
        <v>728857164.70041037</v>
      </c>
      <c r="AB4" s="234">
        <f>'FIM interventions data'!L5*'Assumptions data'!$S5+H4</f>
        <v>263409167.81347817</v>
      </c>
      <c r="AC4" s="234">
        <f>'FIM interventions data'!M5*'Assumptions data'!$T5+I4</f>
        <v>322643457.98740935</v>
      </c>
      <c r="AD4" s="234">
        <f>'FIM interventions data'!N5*'Assumptions data'!$U4+J4</f>
        <v>215804534.57648423</v>
      </c>
      <c r="AE4" s="235">
        <f>'FIM interventions data'!O5*'Assumptions data'!$V5+K4</f>
        <v>240539905.75307009</v>
      </c>
      <c r="AF4" s="234">
        <f>'FIM interventions data'!P5*'Assumptions data'!$S5+L4</f>
        <v>244016311.76669306</v>
      </c>
      <c r="AG4" s="234">
        <f>'FIM interventions data'!Q5*'Assumptions data'!$T5+M4</f>
        <v>298889622.1314857</v>
      </c>
      <c r="AH4" s="234">
        <f>'FIM interventions data'!R5*'Assumptions data'!$U4+N4</f>
        <v>199916453.27686638</v>
      </c>
      <c r="AI4" s="235">
        <f>'FIM interventions data'!S5*'Assumptions data'!$V5+O4</f>
        <v>222830743.21898666</v>
      </c>
      <c r="AJ4" s="234">
        <f>'FIM interventions data'!T5*'Assumptions data'!$S5+P4</f>
        <v>497927808.45779073</v>
      </c>
      <c r="AK4" s="234">
        <f>'FIM interventions data'!U5*'Assumptions data'!$T5+Q4</f>
        <v>609899614.66593146</v>
      </c>
      <c r="AL4" s="234">
        <f>'FIM interventions data'!V5*'Assumptions data'!$U4+R4</f>
        <v>407939783.75502855</v>
      </c>
      <c r="AM4" s="235">
        <f>'FIM interventions data'!W5*'Assumptions data'!$V5+S4</f>
        <v>454697568.47294217</v>
      </c>
      <c r="AN4" s="234">
        <f>'FIM interventions data'!X5*'Assumptions data'!$S5+T4</f>
        <v>14477913.185278336</v>
      </c>
      <c r="AO4" s="234">
        <f>'FIM interventions data'!Y5*'Assumptions data'!$T5+U4</f>
        <v>17733642.353129566</v>
      </c>
      <c r="AP4" s="234">
        <f>'FIM interventions data'!Z5*'Assumptions data'!$U4+V4</f>
        <v>11861391.699168742</v>
      </c>
      <c r="AQ4" s="235">
        <f>'FIM interventions data'!AA5*'Assumptions data'!$V5+W4</f>
        <v>13220936.469280275</v>
      </c>
      <c r="AR4" s="118">
        <f>'FIM interventions data'!AB5*'Assumptions data'!$L5*'Local food sourcing'!$I4</f>
        <v>12537226.171810012</v>
      </c>
      <c r="AS4" s="118">
        <f>'FIM interventions data'!AC5*'Assumptions data'!$N5*'Local food sourcing'!$I4</f>
        <v>28945633.347005039</v>
      </c>
      <c r="AT4" s="118">
        <f>'FIM interventions data'!AD5*'Assumptions data'!$R4*'Local food sourcing'!$K4</f>
        <v>1791821.41932209</v>
      </c>
      <c r="AU4" s="178">
        <f>'FIM interventions data'!AE5*'Assumptions data'!$P4*'Local food sourcing'!$L4</f>
        <v>21579795.730813231</v>
      </c>
      <c r="AV4" s="234">
        <f>'FIM interventions data'!AF5*'Assumptions data'!$L5*'Local food sourcing'!$I4</f>
        <v>9374243.7044249475</v>
      </c>
      <c r="AW4" s="234">
        <f>'FIM interventions data'!AG5*'Assumptions data'!$N5*'Local food sourcing'!$I4</f>
        <v>21643018.755127124</v>
      </c>
      <c r="AX4" s="234">
        <f>'FIM interventions data'!AH5*'Assumptions data'!$R4*'Local food sourcing'!$K4</f>
        <v>1339767.6989589541</v>
      </c>
      <c r="AY4" s="235">
        <f>'FIM interventions data'!AI5*'Assumptions data'!$P4*'Local food sourcing'!$L4</f>
        <v>16135488.145472843</v>
      </c>
      <c r="AZ4" s="234">
        <f>'FIM interventions data'!AJ5*'Assumptions data'!$L5*'Local food sourcing'!$I4</f>
        <v>3814086.32239886</v>
      </c>
      <c r="BA4" s="234">
        <f>'FIM interventions data'!AK5*'Assumptions data'!$N5*'Local food sourcing'!$I4</f>
        <v>8805866.8423978444</v>
      </c>
      <c r="BB4" s="234">
        <f>'FIM interventions data'!AL5*'Assumptions data'!$R4*'Local food sourcing'!$K4</f>
        <v>545109.53810375743</v>
      </c>
      <c r="BC4" s="235">
        <f>'FIM interventions data'!AM5*'Assumptions data'!$P4*'Local food sourcing'!$L4</f>
        <v>6565025.0389614925</v>
      </c>
      <c r="BD4" s="234">
        <f>'FIM interventions data'!AN5*'Assumptions data'!$L5*'Local food sourcing'!$I4</f>
        <v>2971188.7801212459</v>
      </c>
      <c r="BE4" s="234">
        <f>'FIM interventions data'!AO5*'Assumptions data'!$N5*'Local food sourcing'!$I4</f>
        <v>6859806.1369828815</v>
      </c>
      <c r="BF4" s="234">
        <f>'FIM interventions data'!AP5*'Assumptions data'!$R4*'Local food sourcing'!$K4</f>
        <v>424642.5504424086</v>
      </c>
      <c r="BG4" s="235">
        <f>'FIM interventions data'!AQ5*'Assumptions data'!$P4*'Local food sourcing'!$L4</f>
        <v>5114181.2450404176</v>
      </c>
      <c r="BH4" s="234">
        <f>'FIM interventions data'!AR5*'Assumptions data'!$L5*'Local food sourcing'!$I4</f>
        <v>176407.48800134068</v>
      </c>
      <c r="BI4" s="234">
        <f>'FIM interventions data'!AS5*'Assumptions data'!$N5*'Local food sourcing'!$I4</f>
        <v>407285.18392962875</v>
      </c>
      <c r="BJ4" s="234">
        <f>'FIM interventions data'!AT5*'Assumptions data'!$R4*'Local food sourcing'!$K4</f>
        <v>25212.173027582259</v>
      </c>
      <c r="BK4" s="235">
        <f>'FIM interventions data'!AU5*'Assumptions data'!$P4*'Local food sourcing'!$L4</f>
        <v>303642.7280074521</v>
      </c>
      <c r="BL4" s="118">
        <f>'FIM interventions data'!AB5*'Assumptions data'!$S5*'Assumptions data'!$W5+AR4</f>
        <v>159692918.36343005</v>
      </c>
      <c r="BM4" s="118">
        <f>'FIM interventions data'!AC5*'Assumptions data'!$T5*'Assumptions data'!$X5+AS4</f>
        <v>142316030.62277478</v>
      </c>
      <c r="BN4" s="234">
        <f>'FIM interventions data'!AD5*'Assumptions data'!$U4*'Assumptions data'!$Z5+AT4</f>
        <v>10253200.343898628</v>
      </c>
      <c r="BO4" s="235">
        <f>'FIM interventions data'!AE5*'Assumptions data'!$V5*'Assumptions data'!$Y5+AU4</f>
        <v>106100662.34316507</v>
      </c>
      <c r="BP4" s="234">
        <f>'FIM interventions data'!AF5*'Assumptions data'!$S5*'Assumptions data'!$W5+AV4</f>
        <v>119404429.1851128</v>
      </c>
      <c r="BQ4" s="234">
        <f>'FIM interventions data'!AG5*'Assumptions data'!$T5*'Assumptions data'!$X5+AW4</f>
        <v>106411508.87937504</v>
      </c>
      <c r="BR4" s="234">
        <f>'FIM interventions data'!AH5*'Assumptions data'!$U4*'Assumptions data'!$Z5+AX4</f>
        <v>7666448.4995984593</v>
      </c>
      <c r="BS4" s="235">
        <f>'FIM interventions data'!AI5*'Assumptions data'!$V5*'Assumptions data'!$Y5+AY4</f>
        <v>79332816.715241492</v>
      </c>
      <c r="BT4" s="234">
        <f>'FIM interventions data'!AJ5*'Assumptions data'!$S5*'Assumptions data'!$W5+AZ4</f>
        <v>48581924.531555489</v>
      </c>
      <c r="BU4" s="234">
        <f>'FIM interventions data'!AK5*'Assumptions data'!$T5*'Assumptions data'!$X5+BA4</f>
        <v>43295511.975122742</v>
      </c>
      <c r="BV4" s="234">
        <f>'FIM interventions data'!AL5*'Assumptions data'!$U4*'Assumptions data'!$Z5+BB4</f>
        <v>3119237.9124826123</v>
      </c>
      <c r="BW4" s="235">
        <f>'FIM interventions data'!AM5*'Assumptions data'!$V5*'Assumptions data'!$Y5+BC4</f>
        <v>32278039.774894007</v>
      </c>
      <c r="BX4" s="234">
        <f>'FIM interventions data'!AN5*'Assumptions data'!$S5*'Assumptions data'!$W5+BD4</f>
        <v>37845517.086794369</v>
      </c>
      <c r="BY4" s="234">
        <f>'FIM interventions data'!AO5*'Assumptions data'!$T5*'Assumptions data'!$X5+BE4</f>
        <v>33727380.173499174</v>
      </c>
      <c r="BZ4" s="234">
        <f>'FIM interventions data'!AP5*'Assumptions data'!$U4*'Assumptions data'!$Z5+BF4</f>
        <v>2429899.0386426719</v>
      </c>
      <c r="CA4" s="235">
        <f>'FIM interventions data'!AQ5*'Assumptions data'!$V5*'Assumptions data'!$Y5+BG4</f>
        <v>25144724.454782054</v>
      </c>
      <c r="CB4" s="234">
        <f>'FIM interventions data'!AR5*'Assumptions data'!$S5*'Assumptions data'!$W5+BH4</f>
        <v>2246990.378417077</v>
      </c>
      <c r="CC4" s="234">
        <f>'FIM interventions data'!AS5*'Assumptions data'!$T5*'Assumptions data'!$X5+BI4</f>
        <v>2002485.4876540082</v>
      </c>
      <c r="CD4" s="234">
        <f>'FIM interventions data'!AT5*'Assumptions data'!$U4*'Assumptions data'!$Z5+BJ4</f>
        <v>144269.65676894292</v>
      </c>
      <c r="CE4" s="234">
        <f>'FIM interventions data'!AU5*'Assumptions data'!$V5*'Assumptions data'!$Y5+BK4</f>
        <v>1492910.0793699732</v>
      </c>
      <c r="CF4" s="247">
        <f>'FIM interventions data'!AV5*'Assumptions data'!$L5*'Local food sourcing'!$I4</f>
        <v>13192229.775002642</v>
      </c>
      <c r="CG4" s="234">
        <f>'FIM interventions data'!AW5*'Assumptions data'!$N5*'Local food sourcing'!$I4</f>
        <v>30457889.238313068</v>
      </c>
      <c r="CH4" s="234">
        <f>'FIM interventions data'!AX5*'Assumptions data'!$R4*'Local food sourcing'!$K4</f>
        <v>1885434.5894005441</v>
      </c>
      <c r="CI4" s="234">
        <f>'FIM interventions data'!AY5*'Assumptions data'!$P4*'Local food sourcing'!$L4</f>
        <v>22707225.655594029</v>
      </c>
      <c r="CJ4" s="247">
        <f>'FIM interventions data'!AV5*'Assumptions data'!$S5*'Assumptions data'!$W5+CF4</f>
        <v>168036026.75909615</v>
      </c>
      <c r="CK4" s="234">
        <f>'FIM interventions data'!AW5*'Assumptions data'!$T5*'Assumptions data'!$X5+CG4</f>
        <v>149751288.75503927</v>
      </c>
      <c r="CL4" s="234">
        <f>'FIM interventions data'!AX5*'Assumptions data'!$U4*'Assumptions data'!$Z5+CH4</f>
        <v>10788875.706014225</v>
      </c>
      <c r="CM4" s="235">
        <f>'FIM interventions data'!AY5*'Assumptions data'!$V5*'Assumptions data'!$Y5+CI4</f>
        <v>111643859.47333732</v>
      </c>
    </row>
    <row r="5" spans="1:91">
      <c r="A5" s="9">
        <v>4</v>
      </c>
      <c r="B5" s="1" t="s">
        <v>327</v>
      </c>
      <c r="C5" s="1" t="s">
        <v>328</v>
      </c>
      <c r="D5" s="78">
        <f>'FIM interventions data'!E6*'Assumptions data'!L6*'Local food sourcing'!I5</f>
        <v>15955345.92315577</v>
      </c>
      <c r="E5" s="118">
        <f>'FIM interventions data'!G6*'Assumptions data'!N6*'Local food sourcing'!I5</f>
        <v>36837302.501149856</v>
      </c>
      <c r="F5" s="118">
        <f>'FIM interventions data'!I6*'Assumptions data'!$R5*'Local food sourcing'!$K5</f>
        <v>2280339.3817754225</v>
      </c>
      <c r="G5" s="178">
        <f>'FIM interventions data'!K6*'Assumptions data'!$P5*'Local food sourcing'!$L5</f>
        <v>27463260.303172488</v>
      </c>
      <c r="H5" s="247">
        <f>'FIM interventions data'!L6*'Assumptions data'!$L6*'Local food sourcing'!$I5</f>
        <v>3788422.2141703945</v>
      </c>
      <c r="I5" s="234">
        <f>'FIM interventions data'!M6*'Assumptions data'!$N6*'Local food sourcing'!$I5</f>
        <v>8746614.1929856967</v>
      </c>
      <c r="J5" s="234">
        <f>'FIM interventions data'!N6*'Assumptions data'!$R5*'Local food sourcing'!$K5</f>
        <v>541441.62159643916</v>
      </c>
      <c r="K5" s="235">
        <f>'FIM interventions data'!O6*'Assumptions data'!$P5*'Local food sourcing'!$L5</f>
        <v>6520850.4978314079</v>
      </c>
      <c r="L5" s="247">
        <f>'FIM interventions data'!P6*'Assumptions data'!$L6*'Local food sourcing'!$I5</f>
        <v>3111466.8757672701</v>
      </c>
      <c r="M5" s="234">
        <f>'FIM interventions data'!Q6*'Assumptions data'!$N6*'Local food sourcing'!$I5</f>
        <v>7183676.6859816583</v>
      </c>
      <c r="N5" s="234">
        <f>'FIM interventions data'!R6*'Assumptions data'!$R5*'Local food sourcing'!$K5</f>
        <v>444691.10767474351</v>
      </c>
      <c r="O5" s="235">
        <f>'FIM interventions data'!S6*'Assumptions data'!$P5*'Local food sourcing'!$L5</f>
        <v>5355635.9821620388</v>
      </c>
      <c r="P5" s="247">
        <f>'FIM interventions data'!T6*'Assumptions data'!$L6*'Local food sourcing'!$I5</f>
        <v>5867630.7630766015</v>
      </c>
      <c r="Q5" s="234">
        <f>'FIM interventions data'!U6*'Assumptions data'!$N6*'Local food sourcing'!$I5</f>
        <v>13547038.743347673</v>
      </c>
      <c r="R5" s="234">
        <f>'FIM interventions data'!V6*'Assumptions data'!$R5*'Local food sourcing'!$K5</f>
        <v>838602.28234488261</v>
      </c>
      <c r="S5" s="235">
        <f>'FIM interventions data'!W6*'Assumptions data'!$P5*'Local food sourcing'!$L5</f>
        <v>10099703.997981578</v>
      </c>
      <c r="T5" s="247">
        <f>'FIM interventions data'!X6*'Assumptions data'!$L6*'Local food sourcing'!$I5</f>
        <v>285248.54001860716</v>
      </c>
      <c r="U5" s="234">
        <f>'FIM interventions data'!Y6*'Assumptions data'!$N6*'Local food sourcing'!$I5</f>
        <v>658574.67505151231</v>
      </c>
      <c r="V5" s="234">
        <f>'FIM interventions data'!Z6*'Assumptions data'!$R5*'Local food sourcing'!$K5</f>
        <v>40767.74533947045</v>
      </c>
      <c r="W5" s="235">
        <f>'FIM interventions data'!AA6*'Assumptions data'!$P5*'Local food sourcing'!$L5</f>
        <v>490986.21511312784</v>
      </c>
      <c r="X5" s="118">
        <f>'FIM interventions data'!E6*'Assumptions data'!S6+D5</f>
        <v>390507091.46923745</v>
      </c>
      <c r="Y5" s="118">
        <f>'FIM interventions data'!G6*'Assumptions data'!T6+E5</f>
        <v>469675606.88966066</v>
      </c>
      <c r="Z5" s="118">
        <f>'FIM interventions data'!I6*'Assumptions data'!U5+F5</f>
        <v>325328418.46662694</v>
      </c>
      <c r="AA5" s="178">
        <f>'FIM interventions data'!K6*'Assumptions data'!$V6+G5</f>
        <v>350156568.86544925</v>
      </c>
      <c r="AB5" s="234">
        <f>'FIM interventions data'!L6*'Assumptions data'!$S6+H5</f>
        <v>92721633.691820398</v>
      </c>
      <c r="AC5" s="234">
        <f>'FIM interventions data'!M6*'Assumptions data'!$T6+I5</f>
        <v>111519330.96056765</v>
      </c>
      <c r="AD5" s="234">
        <f>'FIM interventions data'!N6*'Assumptions data'!$U5+J5</f>
        <v>77245671.347758651</v>
      </c>
      <c r="AE5" s="235">
        <f>'FIM interventions data'!O6*'Assumptions data'!$V6+K5</f>
        <v>83140843.847350463</v>
      </c>
      <c r="AF5" s="234">
        <f>'FIM interventions data'!P6*'Assumptions data'!$S6+L5</f>
        <v>76153151.78440395</v>
      </c>
      <c r="AG5" s="234">
        <f>'FIM interventions data'!Q6*'Assumptions data'!$T6+M5</f>
        <v>91591877.746266156</v>
      </c>
      <c r="AH5" s="234">
        <f>'FIM interventions data'!R6*'Assumptions data'!$U5+N5</f>
        <v>63442598.028263412</v>
      </c>
      <c r="AI5" s="235">
        <f>'FIM interventions data'!S6*'Assumptions data'!$V6+O5</f>
        <v>68284358.772565991</v>
      </c>
      <c r="AJ5" s="234">
        <f>'FIM interventions data'!T6*'Assumptions data'!$S6+P5</f>
        <v>143610262.92629981</v>
      </c>
      <c r="AK5" s="234">
        <f>'FIM interventions data'!U6*'Assumptions data'!$T6+Q5</f>
        <v>172724743.97768283</v>
      </c>
      <c r="AL5" s="234">
        <f>'FIM interventions data'!V6*'Assumptions data'!$U5+R5</f>
        <v>119640592.28120326</v>
      </c>
      <c r="AM5" s="235">
        <f>'FIM interventions data'!W6*'Assumptions data'!$V6+S5</f>
        <v>128771225.97426511</v>
      </c>
      <c r="AN5" s="234">
        <f>'FIM interventions data'!X6*'Assumptions data'!$S6+T5</f>
        <v>6981458.0169554101</v>
      </c>
      <c r="AO5" s="234">
        <f>'FIM interventions data'!Y6*'Assumptions data'!$T6+U5</f>
        <v>8396827.1069067828</v>
      </c>
      <c r="AP5" s="234">
        <f>'FIM interventions data'!Z6*'Assumptions data'!$U5+V5</f>
        <v>5816198.3350977842</v>
      </c>
      <c r="AQ5" s="235">
        <f>'FIM interventions data'!AA6*'Assumptions data'!$V6+W5</f>
        <v>6260074.2426923793</v>
      </c>
      <c r="AR5" s="118">
        <f>'FIM interventions data'!AB6*'Assumptions data'!$L6*'Local food sourcing'!$I5</f>
        <v>6212712.3789277188</v>
      </c>
      <c r="AS5" s="118">
        <f>'FIM interventions data'!AC6*'Assumptions data'!$N6*'Local food sourcing'!$I5</f>
        <v>14343754.523244657</v>
      </c>
      <c r="AT5" s="118">
        <f>'FIM interventions data'!AD6*'Assumptions data'!$R5*'Local food sourcing'!$K5</f>
        <v>887921.37591652246</v>
      </c>
      <c r="AU5" s="178">
        <f>'FIM interventions data'!AE6*'Assumptions data'!$P5*'Local food sourcing'!$L5</f>
        <v>10693678.349123951</v>
      </c>
      <c r="AV5" s="234">
        <f>'FIM interventions data'!AF6*'Assumptions data'!$L6*'Local food sourcing'!$I5</f>
        <v>4335738.8598561315</v>
      </c>
      <c r="AW5" s="234">
        <f>'FIM interventions data'!AG6*'Assumptions data'!$N6*'Local food sourcing'!$I5</f>
        <v>10010245.137632271</v>
      </c>
      <c r="AX5" s="234">
        <f>'FIM interventions data'!AH6*'Assumptions data'!$R5*'Local food sourcing'!$K5</f>
        <v>619664.16264753032</v>
      </c>
      <c r="AY5" s="235">
        <f>'FIM interventions data'!AI6*'Assumptions data'!$P5*'Local food sourcing'!$L5</f>
        <v>7462923.4294443922</v>
      </c>
      <c r="AZ5" s="234">
        <f>'FIM interventions data'!AJ6*'Assumptions data'!$L6*'Local food sourcing'!$I5</f>
        <v>1561346.782601119</v>
      </c>
      <c r="BA5" s="234">
        <f>'FIM interventions data'!AK6*'Assumptions data'!$N6*'Local food sourcing'!$I5</f>
        <v>3604798.2924897033</v>
      </c>
      <c r="BB5" s="234">
        <f>'FIM interventions data'!AL6*'Assumptions data'!$R5*'Local food sourcing'!$K5</f>
        <v>223147.8135366856</v>
      </c>
      <c r="BC5" s="235">
        <f>'FIM interventions data'!AM6*'Assumptions data'!$P5*'Local food sourcing'!$L5</f>
        <v>2687480.0032924842</v>
      </c>
      <c r="BD5" s="234">
        <f>'FIM interventions data'!AN6*'Assumptions data'!$L6*'Local food sourcing'!$I5</f>
        <v>1239203.0391652915</v>
      </c>
      <c r="BE5" s="234">
        <f>'FIM interventions data'!AO6*'Assumptions data'!$N6*'Local food sourcing'!$I5</f>
        <v>2861040.8971344517</v>
      </c>
      <c r="BF5" s="234">
        <f>'FIM interventions data'!AP6*'Assumptions data'!$R5*'Local food sourcing'!$K5</f>
        <v>177107.00262056719</v>
      </c>
      <c r="BG5" s="235">
        <f>'FIM interventions data'!AQ6*'Assumptions data'!$P5*'Local food sourcing'!$L5</f>
        <v>2132987.6391891874</v>
      </c>
      <c r="BH5" s="234">
        <f>'FIM interventions data'!AR6*'Assumptions data'!$L6*'Local food sourcing'!$I5</f>
        <v>78783.192384620488</v>
      </c>
      <c r="BI5" s="234">
        <f>'FIM interventions data'!AS6*'Assumptions data'!$N6*'Local food sourcing'!$I5</f>
        <v>181892.65866474801</v>
      </c>
      <c r="BJ5" s="234">
        <f>'FIM interventions data'!AT6*'Assumptions data'!$R5*'Local food sourcing'!$K5</f>
        <v>11259.700484206525</v>
      </c>
      <c r="BK5" s="235">
        <f>'FIM interventions data'!AU6*'Assumptions data'!$P5*'Local food sourcing'!$L5</f>
        <v>135606.16801379932</v>
      </c>
      <c r="BL5" s="118">
        <f>'FIM interventions data'!AB6*'Assumptions data'!$S6*'Assumptions data'!$W6+AR5</f>
        <v>115595279.70042385</v>
      </c>
      <c r="BM5" s="118">
        <f>'FIM interventions data'!AC6*'Assumptions data'!$T6*'Assumptions data'!$X6+AS5</f>
        <v>98613312.347306997</v>
      </c>
      <c r="BN5" s="234">
        <f>'FIM interventions data'!AD6*'Assumptions data'!$U5*'Assumptions data'!$Z6+AT5</f>
        <v>7177364.4553252235</v>
      </c>
      <c r="BO5" s="235">
        <f>'FIM interventions data'!AE6*'Assumptions data'!$V6*'Assumptions data'!$Y6+AU5</f>
        <v>73519038.650227174</v>
      </c>
      <c r="BP5" s="234">
        <f>'FIM interventions data'!AF6*'Assumptions data'!$S6*'Assumptions data'!$W6+AV5</f>
        <v>80671841.161198139</v>
      </c>
      <c r="BQ5" s="234">
        <f>'FIM interventions data'!AG6*'Assumptions data'!$T6*'Assumptions data'!$X6+AW5</f>
        <v>68820435.321221858</v>
      </c>
      <c r="BR5" s="234">
        <f>'FIM interventions data'!AH6*'Assumptions data'!$U5*'Assumptions data'!$Z6+AX5</f>
        <v>5008951.9814008698</v>
      </c>
      <c r="BS5" s="235">
        <f>'FIM interventions data'!AI6*'Assumptions data'!$V6*'Assumptions data'!$Y6+AY5</f>
        <v>51307598.577430204</v>
      </c>
      <c r="BT5" s="234">
        <f>'FIM interventions data'!AJ6*'Assumptions data'!$S6*'Assumptions data'!$W6+AZ5</f>
        <v>29050808.573772069</v>
      </c>
      <c r="BU5" s="234">
        <f>'FIM interventions data'!AK6*'Assumptions data'!$T6*'Assumptions data'!$X6+BA5</f>
        <v>24782988.260866713</v>
      </c>
      <c r="BV5" s="234">
        <f>'FIM interventions data'!AL6*'Assumptions data'!$U5*'Assumptions data'!$Z6+BB5</f>
        <v>1803778.159421542</v>
      </c>
      <c r="BW5" s="235">
        <f>'FIM interventions data'!AM6*'Assumptions data'!$V6*'Assumptions data'!$Y6+BC5</f>
        <v>18476425.022635832</v>
      </c>
      <c r="BX5" s="234">
        <f>'FIM interventions data'!AN6*'Assumptions data'!$S6*'Assumptions data'!$W6+BD5</f>
        <v>23056921.547469206</v>
      </c>
      <c r="BY5" s="234">
        <f>'FIM interventions data'!AO6*'Assumptions data'!$T6*'Assumptions data'!$X6+BE5</f>
        <v>19669656.167799357</v>
      </c>
      <c r="BZ5" s="234">
        <f>'FIM interventions data'!AP6*'Assumptions data'!$U5*'Assumptions data'!$Z6+BF5</f>
        <v>1431614.937849585</v>
      </c>
      <c r="CA5" s="235">
        <f>'FIM interventions data'!AQ6*'Assumptions data'!$V6*'Assumptions data'!$Y6+BG5</f>
        <v>14664290.019425666</v>
      </c>
      <c r="CB5" s="234">
        <f>'FIM interventions data'!AR6*'Assumptions data'!$S6*'Assumptions data'!$W6+BH5</f>
        <v>1465859.7733063449</v>
      </c>
      <c r="CC5" s="234">
        <f>'FIM interventions data'!AS6*'Assumptions data'!$T6*'Assumptions data'!$X6+BI5</f>
        <v>1250512.0283201428</v>
      </c>
      <c r="CD5" s="234">
        <f>'FIM interventions data'!AT6*'Assumptions data'!$U5*'Assumptions data'!$Z6+BJ5</f>
        <v>91015.912247336091</v>
      </c>
      <c r="CE5" s="234">
        <f>'FIM interventions data'!AU6*'Assumptions data'!$V6*'Assumptions data'!$Y6+BK5</f>
        <v>932292.40509487037</v>
      </c>
      <c r="CF5" s="247">
        <f>'FIM interventions data'!AV6*'Assumptions data'!$L6*'Local food sourcing'!$I5</f>
        <v>5737570.6335171228</v>
      </c>
      <c r="CG5" s="234">
        <f>'FIM interventions data'!AW6*'Assumptions data'!$N6*'Local food sourcing'!$I5</f>
        <v>13246759.178178983</v>
      </c>
      <c r="CH5" s="234">
        <f>'FIM interventions data'!AX6*'Assumptions data'!$R5*'Local food sourcing'!$K5</f>
        <v>820014.07768534811</v>
      </c>
      <c r="CI5" s="234">
        <f>'FIM interventions data'!AY6*'Assumptions data'!$P5*'Local food sourcing'!$L5</f>
        <v>9875837.0125611927</v>
      </c>
      <c r="CJ5" s="247">
        <f>'FIM interventions data'!AV6*'Assumptions data'!$S6*'Assumptions data'!$W6+CF5</f>
        <v>106754673.59987795</v>
      </c>
      <c r="CK5" s="234">
        <f>'FIM interventions data'!AW6*'Assumptions data'!$T6*'Assumptions data'!$X6+CG5</f>
        <v>91071469.349980503</v>
      </c>
      <c r="CL5" s="234">
        <f>'FIM interventions data'!AX6*'Assumptions data'!$U5*'Assumptions data'!$Z6+CH5</f>
        <v>6628447.1279565636</v>
      </c>
      <c r="CM5" s="235">
        <f>'FIM interventions data'!AY6*'Assumptions data'!$V6*'Assumptions data'!$Y6+CI5</f>
        <v>67896379.461358204</v>
      </c>
    </row>
    <row r="6" spans="1:91">
      <c r="A6" s="9">
        <v>5</v>
      </c>
      <c r="B6" s="1" t="s">
        <v>332</v>
      </c>
      <c r="C6" s="1" t="s">
        <v>333</v>
      </c>
      <c r="D6" s="78">
        <f>'FIM interventions data'!E7*'Assumptions data'!L7*'Local food sourcing'!I6</f>
        <v>401024475.0352177</v>
      </c>
      <c r="E6" s="118">
        <f>'FIM interventions data'!G7*'Assumptions data'!N7*'Local food sourcing'!I6</f>
        <v>925875250.11273968</v>
      </c>
      <c r="F6" s="118">
        <f>'FIM interventions data'!I7*'Assumptions data'!$R6*'Local food sourcing'!$K6</f>
        <v>57314451.713106483</v>
      </c>
      <c r="G6" s="178">
        <f>'FIM interventions data'!K7*'Assumptions data'!$P6*'Local food sourcing'!$L6</f>
        <v>690266422.23103619</v>
      </c>
      <c r="H6" s="247">
        <f>'FIM interventions data'!L7*'Assumptions data'!$L7*'Local food sourcing'!$I6</f>
        <v>131127176.22276706</v>
      </c>
      <c r="I6" s="234">
        <f>'FIM interventions data'!M7*'Assumptions data'!$N7*'Local food sourcing'!$I6</f>
        <v>302743135.74294895</v>
      </c>
      <c r="J6" s="234">
        <f>'FIM interventions data'!N7*'Assumptions data'!$R6*'Local food sourcing'!$K6</f>
        <v>18740707.058430243</v>
      </c>
      <c r="K6" s="235">
        <f>'FIM interventions data'!O7*'Assumptions data'!$P6*'Local food sourcing'!$L6</f>
        <v>225703647.5905847</v>
      </c>
      <c r="L6" s="247">
        <f>'FIM interventions data'!P7*'Assumptions data'!$L7*'Local food sourcing'!$I6</f>
        <v>46363218.443526849</v>
      </c>
      <c r="M6" s="234">
        <f>'FIM interventions data'!Q7*'Assumptions data'!$N7*'Local food sourcing'!$I6</f>
        <v>107042235.93500681</v>
      </c>
      <c r="N6" s="234">
        <f>'FIM interventions data'!R7*'Assumptions data'!$R6*'Local food sourcing'!$K6</f>
        <v>6626235.0808198601</v>
      </c>
      <c r="O6" s="235">
        <f>'FIM interventions data'!S7*'Assumptions data'!$P6*'Local food sourcing'!$L6</f>
        <v>79803041.735342443</v>
      </c>
      <c r="P6" s="247">
        <f>'FIM interventions data'!T7*'Assumptions data'!$L7*'Local food sourcing'!$I6</f>
        <v>228259762.21319374</v>
      </c>
      <c r="Q6" s="234">
        <f>'FIM interventions data'!U7*'Assumptions data'!$N7*'Local food sourcing'!$I6</f>
        <v>527000414.1549105</v>
      </c>
      <c r="R6" s="234">
        <f>'FIM interventions data'!V7*'Assumptions data'!$R6*'Local food sourcing'!$K6</f>
        <v>32622904.420645036</v>
      </c>
      <c r="S6" s="235">
        <f>'FIM interventions data'!W7*'Assumptions data'!$P6*'Local food sourcing'!$L6</f>
        <v>392893848.65692168</v>
      </c>
      <c r="T6" s="247">
        <f>'FIM interventions data'!X7*'Assumptions data'!$L7*'Local food sourcing'!$I6</f>
        <v>2368645.3155926247</v>
      </c>
      <c r="U6" s="234">
        <f>'FIM interventions data'!Y7*'Assumptions data'!$N7*'Local food sourcing'!$I6</f>
        <v>5468668.8981017862</v>
      </c>
      <c r="V6" s="234">
        <f>'FIM interventions data'!Z7*'Assumptions data'!$R6*'Local food sourcing'!$K6</f>
        <v>338526.98779566312</v>
      </c>
      <c r="W6" s="235">
        <f>'FIM interventions data'!AA7*'Assumptions data'!$P6*'Local food sourcing'!$L6</f>
        <v>4077048.7322122683</v>
      </c>
      <c r="X6" s="118">
        <f>'FIM interventions data'!E7*'Assumptions data'!S7+D6</f>
        <v>4166644295.615912</v>
      </c>
      <c r="Y6" s="118">
        <f>'FIM interventions data'!G7*'Assumptions data'!T7+E6</f>
        <v>5277488925.6426172</v>
      </c>
      <c r="Z6" s="118">
        <f>'FIM interventions data'!I7*'Assumptions data'!U6+F6</f>
        <v>3305133382.1224737</v>
      </c>
      <c r="AA6" s="178">
        <f>'FIM interventions data'!K7*'Assumptions data'!$V7+G6</f>
        <v>3934518606.7169065</v>
      </c>
      <c r="AB6" s="234">
        <f>'FIM interventions data'!L7*'Assumptions data'!$S7+H6</f>
        <v>1362411360.9545498</v>
      </c>
      <c r="AC6" s="234">
        <f>'FIM interventions data'!M7*'Assumptions data'!$T7+I6</f>
        <v>1725635873.7348092</v>
      </c>
      <c r="AD6" s="234">
        <f>'FIM interventions data'!N7*'Assumptions data'!$U6+J6</f>
        <v>1080714107.036144</v>
      </c>
      <c r="AE6" s="235">
        <f>'FIM interventions data'!O7*'Assumptions data'!$V7+K6</f>
        <v>1286510791.2663329</v>
      </c>
      <c r="AF6" s="234">
        <f>'FIM interventions data'!P7*'Assumptions data'!$S7+L6</f>
        <v>481713839.62824398</v>
      </c>
      <c r="AG6" s="234">
        <f>'FIM interventions data'!Q7*'Assumptions data'!$T7+M6</f>
        <v>610140744.82953894</v>
      </c>
      <c r="AH6" s="234">
        <f>'FIM interventions data'!R7*'Assumptions data'!$U6+N6</f>
        <v>382112889.66061187</v>
      </c>
      <c r="AI6" s="235">
        <f>'FIM interventions data'!S7*'Assumptions data'!$V7+O6</f>
        <v>454877337.89145195</v>
      </c>
      <c r="AJ6" s="234">
        <f>'FIM interventions data'!T7*'Assumptions data'!$S7+P6</f>
        <v>2371618929.395083</v>
      </c>
      <c r="AK6" s="234">
        <f>'FIM interventions data'!U7*'Assumptions data'!$T7+Q6</f>
        <v>3003902360.6829901</v>
      </c>
      <c r="AL6" s="234">
        <f>'FIM interventions data'!V7*'Assumptions data'!$U6+R6</f>
        <v>1881254154.9238636</v>
      </c>
      <c r="AM6" s="235">
        <f>'FIM interventions data'!W7*'Assumptions data'!$V7+S6</f>
        <v>2239494937.3444538</v>
      </c>
      <c r="AN6" s="234">
        <f>'FIM interventions data'!X7*'Assumptions data'!$S7+T6</f>
        <v>24610224.829007372</v>
      </c>
      <c r="AO6" s="234">
        <f>'FIM interventions data'!Y7*'Assumptions data'!$T7+U6</f>
        <v>31171412.719180189</v>
      </c>
      <c r="AP6" s="234">
        <f>'FIM interventions data'!Z7*'Assumptions data'!$U6+V6</f>
        <v>19521722.962883238</v>
      </c>
      <c r="AQ6" s="235">
        <f>'FIM interventions data'!AA7*'Assumptions data'!$V7+W6</f>
        <v>23239177.773609933</v>
      </c>
      <c r="AR6" s="118">
        <f>'FIM interventions data'!AB7*'Assumptions data'!$L7*'Local food sourcing'!$I6</f>
        <v>98962006.04910779</v>
      </c>
      <c r="AS6" s="118">
        <f>'FIM interventions data'!AC7*'Assumptions data'!$N7*'Local food sourcing'!$I6</f>
        <v>228480997.56088352</v>
      </c>
      <c r="AT6" s="118">
        <f>'FIM interventions data'!AD7*'Assumptions data'!$R6*'Local food sourcing'!$K6</f>
        <v>14143658.23092377</v>
      </c>
      <c r="AU6" s="178">
        <f>'FIM interventions data'!AE7*'Assumptions data'!$P6*'Local food sourcing'!$L6</f>
        <v>170339104.23129377</v>
      </c>
      <c r="AV6" s="234">
        <f>'FIM interventions data'!AF7*'Assumptions data'!$L7*'Local food sourcing'!$I6</f>
        <v>105934689.97313088</v>
      </c>
      <c r="AW6" s="234">
        <f>'FIM interventions data'!AG7*'Assumptions data'!$N7*'Local food sourcing'!$I6</f>
        <v>244579355.32706475</v>
      </c>
      <c r="AX6" s="234">
        <f>'FIM interventions data'!AH7*'Assumptions data'!$R6*'Local food sourcing'!$K6</f>
        <v>15140194.804007195</v>
      </c>
      <c r="AY6" s="235">
        <f>'FIM interventions data'!AI7*'Assumptions data'!$P6*'Local food sourcing'!$L6</f>
        <v>182340889.3721149</v>
      </c>
      <c r="AZ6" s="234">
        <f>'FIM interventions data'!AJ7*'Assumptions data'!$L7*'Local food sourcing'!$I6</f>
        <v>14749159.632661687</v>
      </c>
      <c r="BA6" s="234">
        <f>'FIM interventions data'!AK7*'Assumptions data'!$N7*'Local food sourcing'!$I6</f>
        <v>34052489.845274694</v>
      </c>
      <c r="BB6" s="234">
        <f>'FIM interventions data'!AL7*'Assumptions data'!$R6*'Local food sourcing'!$K6</f>
        <v>2107951.1356528811</v>
      </c>
      <c r="BC6" s="235">
        <f>'FIM interventions data'!AM7*'Assumptions data'!$P6*'Local food sourcing'!$L6</f>
        <v>25387102.993296687</v>
      </c>
      <c r="BD6" s="234">
        <f>'FIM interventions data'!AN7*'Assumptions data'!$L7*'Local food sourcing'!$I6</f>
        <v>36879642.342040829</v>
      </c>
      <c r="BE6" s="234">
        <f>'FIM interventions data'!AO7*'Assumptions data'!$N7*'Local food sourcing'!$I6</f>
        <v>85146793.283643767</v>
      </c>
      <c r="BF6" s="234">
        <f>'FIM interventions data'!AP7*'Assumptions data'!$R6*'Local food sourcing'!$K6</f>
        <v>5270841.5864740163</v>
      </c>
      <c r="BG6" s="235">
        <f>'FIM interventions data'!AQ7*'Assumptions data'!$P6*'Local food sourcing'!$L6</f>
        <v>63479364.371376976</v>
      </c>
      <c r="BH6" s="234">
        <f>'FIM interventions data'!AR7*'Assumptions data'!$L7*'Local food sourcing'!$I6</f>
        <v>746024.97408487077</v>
      </c>
      <c r="BI6" s="234">
        <f>'FIM interventions data'!AS7*'Assumptions data'!$N7*'Local food sourcing'!$I6</f>
        <v>1722403.7495729434</v>
      </c>
      <c r="BJ6" s="234">
        <f>'FIM interventions data'!AT7*'Assumptions data'!$R6*'Local food sourcing'!$K6</f>
        <v>106621.95206465607</v>
      </c>
      <c r="BK6" s="235">
        <f>'FIM interventions data'!AU7*'Assumptions data'!$P6*'Local food sourcing'!$L6</f>
        <v>1284101.1504630544</v>
      </c>
      <c r="BL6" s="118">
        <f>'FIM interventions data'!AB7*'Assumptions data'!$S7*'Assumptions data'!$W7+AR6</f>
        <v>795901933.64994943</v>
      </c>
      <c r="BM6" s="118">
        <f>'FIM interventions data'!AC7*'Assumptions data'!$T7*'Assumptions data'!$X7+AS6</f>
        <v>765411341.82895982</v>
      </c>
      <c r="BN6" s="234">
        <f>'FIM interventions data'!AD7*'Assumptions data'!$U6*'Assumptions data'!$Z7+AT6</f>
        <v>54217356.551874451</v>
      </c>
      <c r="BO6" s="235">
        <f>'FIM interventions data'!AE7*'Assumptions data'!$V7*'Assumptions data'!$Y7+AU6</f>
        <v>570635999.17483413</v>
      </c>
      <c r="BP6" s="234">
        <f>'FIM interventions data'!AF7*'Assumptions data'!$S7*'Assumptions data'!$W7+AV6</f>
        <v>851979744.10890508</v>
      </c>
      <c r="BQ6" s="234">
        <f>'FIM interventions data'!AG7*'Assumptions data'!$T7*'Assumptions data'!$X7+AW6</f>
        <v>819340840.345667</v>
      </c>
      <c r="BR6" s="234">
        <f>'FIM interventions data'!AH7*'Assumptions data'!$U6*'Assumptions data'!$Z7+AX6</f>
        <v>58037413.415360913</v>
      </c>
      <c r="BS6" s="235">
        <f>'FIM interventions data'!AI7*'Assumptions data'!$V7*'Assumptions data'!$Y7+AY6</f>
        <v>610841979.39658499</v>
      </c>
      <c r="BT6" s="234">
        <f>'FIM interventions data'!AJ7*'Assumptions data'!$S7*'Assumptions data'!$W7+AZ6</f>
        <v>118620116.34568162</v>
      </c>
      <c r="BU6" s="234">
        <f>'FIM interventions data'!AK7*'Assumptions data'!$T7*'Assumptions data'!$X7+BA6</f>
        <v>114075840.98167023</v>
      </c>
      <c r="BV6" s="234">
        <f>'FIM interventions data'!AL7*'Assumptions data'!$U6*'Assumptions data'!$Z7+BB6</f>
        <v>8080479.3533360446</v>
      </c>
      <c r="BW6" s="235">
        <f>'FIM interventions data'!AM7*'Assumptions data'!$V7*'Assumptions data'!$Y7+BC6</f>
        <v>85046795.027543902</v>
      </c>
      <c r="BX6" s="234">
        <f>'FIM interventions data'!AN7*'Assumptions data'!$S7*'Assumptions data'!$W7+BD6</f>
        <v>296604523.53586334</v>
      </c>
      <c r="BY6" s="234">
        <f>'FIM interventions data'!AO7*'Assumptions data'!$T7*'Assumptions data'!$X7+BE6</f>
        <v>285241757.50020665</v>
      </c>
      <c r="BZ6" s="234">
        <f>'FIM interventions data'!AP7*'Assumptions data'!$U6*'Assumptions data'!$Z7+BF6</f>
        <v>20204892.748150393</v>
      </c>
      <c r="CA6" s="235">
        <f>'FIM interventions data'!AQ7*'Assumptions data'!$V7*'Assumptions data'!$Y7+BG6</f>
        <v>212655870.64411288</v>
      </c>
      <c r="CB6" s="234">
        <f>'FIM interventions data'!AR7*'Assumptions data'!$S7*'Assumptions data'!$W7+BH6</f>
        <v>5999905.8540775739</v>
      </c>
      <c r="CC6" s="234">
        <f>'FIM interventions data'!AS7*'Assumptions data'!$T7*'Assumptions data'!$X7+BI6</f>
        <v>5770052.5610693609</v>
      </c>
      <c r="CD6" s="234">
        <f>'FIM interventions data'!AT7*'Assumptions data'!$U6*'Assumptions data'!$Z7+BJ6</f>
        <v>408717.4829145149</v>
      </c>
      <c r="CE6" s="234">
        <f>'FIM interventions data'!AU7*'Assumptions data'!$V7*'Assumptions data'!$Y7+BK6</f>
        <v>4301738.8540512323</v>
      </c>
      <c r="CF6" s="247">
        <f>'FIM interventions data'!AV7*'Assumptions data'!$L7*'Local food sourcing'!$I6</f>
        <v>110465004.26354703</v>
      </c>
      <c r="CG6" s="234">
        <f>'FIM interventions data'!AW7*'Assumptions data'!$N7*'Local food sourcing'!$I6</f>
        <v>255038831.33874708</v>
      </c>
      <c r="CH6" s="234">
        <f>'FIM interventions data'!AX7*'Assumptions data'!$R6*'Local food sourcing'!$K6</f>
        <v>15787667.70356139</v>
      </c>
      <c r="CI6" s="234">
        <f>'FIM interventions data'!AY7*'Assumptions data'!$P6*'Local food sourcing'!$L6</f>
        <v>190138727.23862681</v>
      </c>
      <c r="CJ6" s="247">
        <f>'FIM interventions data'!AV7*'Assumptions data'!$S7*'Assumptions data'!$W7+CF6</f>
        <v>888414796.78957713</v>
      </c>
      <c r="CK6" s="234">
        <f>'FIM interventions data'!AW7*'Assumptions data'!$T7*'Assumptions data'!$X7+CG6</f>
        <v>854380084.98480272</v>
      </c>
      <c r="CL6" s="234">
        <f>'FIM interventions data'!AX7*'Assumptions data'!$U6*'Assumptions data'!$Z7+CH6</f>
        <v>60519392.863651998</v>
      </c>
      <c r="CM6" s="235">
        <f>'FIM interventions data'!AY7*'Assumptions data'!$V7*'Assumptions data'!$Y7+CI6</f>
        <v>636964736.2493999</v>
      </c>
    </row>
    <row r="7" spans="1:91">
      <c r="A7" s="9">
        <v>6</v>
      </c>
      <c r="B7" s="1" t="s">
        <v>337</v>
      </c>
      <c r="C7" s="1" t="s">
        <v>338</v>
      </c>
      <c r="D7" s="78">
        <f>'FIM interventions data'!E8*'Assumptions data'!L8*'Local food sourcing'!I7</f>
        <v>40333143.610927299</v>
      </c>
      <c r="E7" s="118">
        <f>'FIM interventions data'!G8*'Assumptions data'!N8*'Local food sourcing'!I7</f>
        <v>93120150.398104489</v>
      </c>
      <c r="F7" s="118">
        <f>'FIM interventions data'!I8*'Assumptions data'!$R7*'Local food sourcing'!$K7</f>
        <v>5764416.2783911703</v>
      </c>
      <c r="G7" s="178">
        <f>'FIM interventions data'!K8*'Assumptions data'!$P7*'Local food sourcing'!$L7</f>
        <v>69423729.649419606</v>
      </c>
      <c r="H7" s="247">
        <f>'FIM interventions data'!L8*'Assumptions data'!$L8*'Local food sourcing'!$I7</f>
        <v>8687083.6421757974</v>
      </c>
      <c r="I7" s="234">
        <f>'FIM interventions data'!M8*'Assumptions data'!$N8*'Local food sourcing'!$I7</f>
        <v>20056520.837645788</v>
      </c>
      <c r="J7" s="234">
        <f>'FIM interventions data'!N8*'Assumptions data'!$R7*'Local food sourcing'!$K7</f>
        <v>1241558.7250465876</v>
      </c>
      <c r="K7" s="235">
        <f>'FIM interventions data'!O8*'Assumptions data'!$P7*'Local food sourcing'!$L7</f>
        <v>14952708.671409262</v>
      </c>
      <c r="L7" s="247">
        <f>'FIM interventions data'!P8*'Assumptions data'!$L8*'Local food sourcing'!$I7</f>
        <v>5171737.006053241</v>
      </c>
      <c r="M7" s="234">
        <f>'FIM interventions data'!Q8*'Assumptions data'!$N8*'Local food sourcing'!$I7</f>
        <v>11940376.690416077</v>
      </c>
      <c r="N7" s="234">
        <f>'FIM interventions data'!R8*'Assumptions data'!$R7*'Local food sourcing'!$K7</f>
        <v>739145.08804055746</v>
      </c>
      <c r="O7" s="235">
        <f>'FIM interventions data'!S8*'Assumptions data'!$P7*'Local food sourcing'!$L7</f>
        <v>8901891.5854817014</v>
      </c>
      <c r="P7" s="247">
        <f>'FIM interventions data'!T8*'Assumptions data'!$L8*'Local food sourcing'!$I7</f>
        <v>24072060.69564845</v>
      </c>
      <c r="Q7" s="234">
        <f>'FIM interventions data'!U8*'Assumptions data'!$N8*'Local food sourcing'!$I7</f>
        <v>55576969.99754259</v>
      </c>
      <c r="R7" s="234">
        <f>'FIM interventions data'!V8*'Assumptions data'!$R7*'Local food sourcing'!$K7</f>
        <v>3440380.939977664</v>
      </c>
      <c r="S7" s="235">
        <f>'FIM interventions data'!W8*'Assumptions data'!$P7*'Local food sourcing'!$L7</f>
        <v>41434217.227400869</v>
      </c>
      <c r="T7" s="247">
        <f>'FIM interventions data'!X8*'Assumptions data'!$L8*'Local food sourcing'!$I7</f>
        <v>1079573.9162511604</v>
      </c>
      <c r="U7" s="234">
        <f>'FIM interventions data'!Y8*'Assumptions data'!$N8*'Local food sourcing'!$I7</f>
        <v>2492493.1817103019</v>
      </c>
      <c r="V7" s="234">
        <f>'FIM interventions data'!Z8*'Assumptions data'!$R7*'Local food sourcing'!$K7</f>
        <v>154292.79494293348</v>
      </c>
      <c r="W7" s="235">
        <f>'FIM interventions data'!AA8*'Assumptions data'!$P7*'Local food sourcing'!$L7</f>
        <v>1858224.7994693951</v>
      </c>
      <c r="X7" s="118">
        <f>'FIM interventions data'!E8*'Assumptions data'!S8+D7</f>
        <v>671546841.12193966</v>
      </c>
      <c r="Y7" s="118">
        <f>'FIM interventions data'!G8*'Assumptions data'!T8+E7</f>
        <v>822561328.51658988</v>
      </c>
      <c r="Z7" s="118">
        <f>'FIM interventions data'!I8*'Assumptions data'!U7+F7</f>
        <v>550181509.23755717</v>
      </c>
      <c r="AA7" s="178">
        <f>'FIM interventions data'!K8*'Assumptions data'!$V8+G7</f>
        <v>613242945.23653984</v>
      </c>
      <c r="AB7" s="234">
        <f>'FIM interventions data'!L8*'Assumptions data'!$S8+H7</f>
        <v>144639942.64222705</v>
      </c>
      <c r="AC7" s="234">
        <f>'FIM interventions data'!M8*'Assumptions data'!$T8+I7</f>
        <v>177165934.06587118</v>
      </c>
      <c r="AD7" s="234">
        <f>'FIM interventions data'!N8*'Assumptions data'!$U7+J7</f>
        <v>118499882.75722431</v>
      </c>
      <c r="AE7" s="235">
        <f>'FIM interventions data'!O8*'Assumptions data'!$V8+K7</f>
        <v>132082259.93078183</v>
      </c>
      <c r="AF7" s="234">
        <f>'FIM interventions data'!P8*'Assumptions data'!$S8+L7</f>
        <v>86109421.150786474</v>
      </c>
      <c r="AG7" s="234">
        <f>'FIM interventions data'!Q8*'Assumptions data'!$T8+M7</f>
        <v>105473327.4320087</v>
      </c>
      <c r="AH7" s="234">
        <f>'FIM interventions data'!R8*'Assumptions data'!$U7+N7</f>
        <v>70547292.291870996</v>
      </c>
      <c r="AI7" s="235">
        <f>'FIM interventions data'!S8*'Assumptions data'!$V8+O7</f>
        <v>78633375.671755046</v>
      </c>
      <c r="AJ7" s="234">
        <f>'FIM interventions data'!T8*'Assumptions data'!$S8+P7</f>
        <v>400799810.58254671</v>
      </c>
      <c r="AK7" s="234">
        <f>'FIM interventions data'!U8*'Assumptions data'!$T8+Q7</f>
        <v>490929901.64495957</v>
      </c>
      <c r="AL7" s="234">
        <f>'FIM interventions data'!V8*'Assumptions data'!$U7+R7</f>
        <v>328365247.4934237</v>
      </c>
      <c r="AM7" s="235">
        <f>'FIM interventions data'!W8*'Assumptions data'!$V8+S7</f>
        <v>366002252.17537439</v>
      </c>
      <c r="AN7" s="234">
        <f>'FIM interventions data'!X8*'Assumptions data'!$S8+T7</f>
        <v>17974905.705581822</v>
      </c>
      <c r="AO7" s="234">
        <f>'FIM interventions data'!Y8*'Assumptions data'!$T8+U7</f>
        <v>22017023.105107673</v>
      </c>
      <c r="AP7" s="234">
        <f>'FIM interventions data'!Z8*'Assumptions data'!$U7+V7</f>
        <v>14726390.095108876</v>
      </c>
      <c r="AQ7" s="235">
        <f>'FIM interventions data'!AA8*'Assumptions data'!$V8+W7</f>
        <v>16414319.061979659</v>
      </c>
      <c r="AR7" s="118">
        <f>'FIM interventions data'!AB8*'Assumptions data'!$L8*'Local food sourcing'!$I7</f>
        <v>7703862.8107067281</v>
      </c>
      <c r="AS7" s="118">
        <f>'FIM interventions data'!AC8*'Assumptions data'!$N8*'Local food sourcing'!$I7</f>
        <v>17786485.241507839</v>
      </c>
      <c r="AT7" s="118">
        <f>'FIM interventions data'!AD8*'Assumptions data'!$R7*'Local food sourcing'!$K7</f>
        <v>1101036.7210875882</v>
      </c>
      <c r="AU7" s="178">
        <f>'FIM interventions data'!AE8*'Assumptions data'!$P7*'Local food sourcing'!$L7</f>
        <v>13260332.350633385</v>
      </c>
      <c r="AV7" s="234">
        <f>'FIM interventions data'!AF8*'Assumptions data'!$L8*'Local food sourcing'!$I7</f>
        <v>6444028.5331555251</v>
      </c>
      <c r="AW7" s="234">
        <f>'FIM interventions data'!AG8*'Assumptions data'!$N8*'Local food sourcing'!$I7</f>
        <v>14877811.458627416</v>
      </c>
      <c r="AX7" s="234">
        <f>'FIM interventions data'!AH8*'Assumptions data'!$R7*'Local food sourcing'!$K7</f>
        <v>920981.10014105227</v>
      </c>
      <c r="AY7" s="235">
        <f>'FIM interventions data'!AI8*'Assumptions data'!$P7*'Local food sourcing'!$L7</f>
        <v>11091833.035740146</v>
      </c>
      <c r="AZ7" s="234">
        <f>'FIM interventions data'!AJ8*'Assumptions data'!$L8*'Local food sourcing'!$I7</f>
        <v>1140704.3033395503</v>
      </c>
      <c r="BA7" s="234">
        <f>'FIM interventions data'!AK8*'Assumptions data'!$N8*'Local food sourcing'!$I7</f>
        <v>2633629.4862462808</v>
      </c>
      <c r="BB7" s="234">
        <f>'FIM interventions data'!AL8*'Assumptions data'!$R7*'Local food sourcing'!$K7</f>
        <v>163029.55500894526</v>
      </c>
      <c r="BC7" s="235">
        <f>'FIM interventions data'!AM8*'Assumptions data'!$P7*'Local food sourcing'!$L7</f>
        <v>1963445.9423470104</v>
      </c>
      <c r="BD7" s="234">
        <f>'FIM interventions data'!AN8*'Assumptions data'!$L8*'Local food sourcing'!$I7</f>
        <v>2110628.3637435571</v>
      </c>
      <c r="BE7" s="234">
        <f>'FIM interventions data'!AO8*'Assumptions data'!$N8*'Local food sourcing'!$I7</f>
        <v>4872965.830837368</v>
      </c>
      <c r="BF7" s="234">
        <f>'FIM interventions data'!AP8*'Assumptions data'!$R7*'Local food sourcing'!$K7</f>
        <v>301651.1833285726</v>
      </c>
      <c r="BG7" s="235">
        <f>'FIM interventions data'!AQ8*'Assumptions data'!$P7*'Local food sourcing'!$L7</f>
        <v>3632935.0949781002</v>
      </c>
      <c r="BH7" s="234">
        <f>'FIM interventions data'!AR8*'Assumptions data'!$L8*'Local food sourcing'!$I7</f>
        <v>128846.88902999194</v>
      </c>
      <c r="BI7" s="234">
        <f>'FIM interventions data'!AS8*'Assumptions data'!$N8*'Local food sourcing'!$I7</f>
        <v>297478.46586275258</v>
      </c>
      <c r="BJ7" s="234">
        <f>'FIM interventions data'!AT8*'Assumptions data'!$R7*'Local food sourcing'!$K7</f>
        <v>18414.808220981864</v>
      </c>
      <c r="BK7" s="235">
        <f>'FIM interventions data'!AU8*'Assumptions data'!$P7*'Local food sourcing'!$L7</f>
        <v>221778.68594808676</v>
      </c>
      <c r="BL7" s="118">
        <f>'FIM interventions data'!AB8*'Assumptions data'!$S8*'Assumptions data'!$W8+AR7</f>
        <v>98127952.551376969</v>
      </c>
      <c r="BM7" s="118">
        <f>'FIM interventions data'!AC8*'Assumptions data'!$T8*'Assumptions data'!$X8+AS7</f>
        <v>87450219.10408023</v>
      </c>
      <c r="BN7" s="234">
        <f>'FIM interventions data'!AD8*'Assumptions data'!$U7*'Assumptions data'!$Z8+AT7</f>
        <v>6300376.7928900896</v>
      </c>
      <c r="BO7" s="235">
        <f>'FIM interventions data'!AE8*'Assumptions data'!$V8*'Assumptions data'!$Y8+AU7</f>
        <v>65196634.057280816</v>
      </c>
      <c r="BP7" s="234">
        <f>'FIM interventions data'!AF8*'Assumptions data'!$S8*'Assumptions data'!$W8+AV7</f>
        <v>82080813.441068515</v>
      </c>
      <c r="BQ7" s="234">
        <f>'FIM interventions data'!AG8*'Assumptions data'!$T8*'Assumptions data'!$X8+AW7</f>
        <v>73149239.6715848</v>
      </c>
      <c r="BR7" s="234">
        <f>'FIM interventions data'!AH8*'Assumptions data'!$U7*'Assumptions data'!$Z8+AX7</f>
        <v>5270058.5174737992</v>
      </c>
      <c r="BS7" s="235">
        <f>'FIM interventions data'!AI8*'Assumptions data'!$V8*'Assumptions data'!$Y8+AY7</f>
        <v>54534845.759055719</v>
      </c>
      <c r="BT7" s="234">
        <f>'FIM interventions data'!AJ8*'Assumptions data'!$S8*'Assumptions data'!$W8+AZ7</f>
        <v>14529721.063787522</v>
      </c>
      <c r="BU7" s="234">
        <f>'FIM interventions data'!AK8*'Assumptions data'!$T8*'Assumptions data'!$X8+BA7</f>
        <v>12948678.307377549</v>
      </c>
      <c r="BV7" s="234">
        <f>'FIM interventions data'!AL8*'Assumptions data'!$U7*'Assumptions data'!$Z8+BB7</f>
        <v>932891.34255118691</v>
      </c>
      <c r="BW7" s="235">
        <f>'FIM interventions data'!AM8*'Assumptions data'!$V8*'Assumptions data'!$Y8+BC7</f>
        <v>9653609.2165394686</v>
      </c>
      <c r="BX7" s="234">
        <f>'FIM interventions data'!AN8*'Assumptions data'!$S8*'Assumptions data'!$W8+BD7</f>
        <v>26884128.78318356</v>
      </c>
      <c r="BY7" s="234">
        <f>'FIM interventions data'!AO8*'Assumptions data'!$T8*'Assumptions data'!$X8+BE7</f>
        <v>23958748.668283727</v>
      </c>
      <c r="BZ7" s="234">
        <f>'FIM interventions data'!AP8*'Assumptions data'!$U7*'Assumptions data'!$Z8+BF7</f>
        <v>1726115.1046023879</v>
      </c>
      <c r="CA7" s="235">
        <f>'FIM interventions data'!AQ8*'Assumptions data'!$V8*'Assumptions data'!$Y8+BG7</f>
        <v>17861930.883642327</v>
      </c>
      <c r="CB7" s="234">
        <f>'FIM interventions data'!AR8*'Assumptions data'!$S8*'Assumptions data'!$W8+BH7</f>
        <v>1641187.2490195229</v>
      </c>
      <c r="CC7" s="234">
        <f>'FIM interventions data'!AS8*'Assumptions data'!$T8*'Assumptions data'!$X8+BI7</f>
        <v>1462602.4571585336</v>
      </c>
      <c r="CD7" s="234">
        <f>'FIM interventions data'!AT8*'Assumptions data'!$U7*'Assumptions data'!$Z8+BJ7</f>
        <v>105373.62482006291</v>
      </c>
      <c r="CE7" s="234">
        <f>'FIM interventions data'!AU8*'Assumptions data'!$V8*'Assumptions data'!$Y8+BK7</f>
        <v>1090411.8725780933</v>
      </c>
      <c r="CF7" s="247">
        <f>'FIM interventions data'!AV8*'Assumptions data'!$L8*'Local food sourcing'!$I7</f>
        <v>8696192.8066356499</v>
      </c>
      <c r="CG7" s="234">
        <f>'FIM interventions data'!AW8*'Assumptions data'!$N8*'Local food sourcing'!$I7</f>
        <v>20077551.848089341</v>
      </c>
      <c r="CH7" s="234">
        <f>'FIM interventions data'!AX8*'Assumptions data'!$R7*'Local food sourcing'!$K7</f>
        <v>1242860.6075976093</v>
      </c>
      <c r="CI7" s="234">
        <f>'FIM interventions data'!AY8*'Assumptions data'!$P7*'Local food sourcing'!$L7</f>
        <v>14968387.889892535</v>
      </c>
      <c r="CJ7" s="247">
        <f>'FIM interventions data'!AV8*'Assumptions data'!$S8*'Assumptions data'!$W8+CF7</f>
        <v>110767755.87452158</v>
      </c>
      <c r="CK7" s="234">
        <f>'FIM interventions data'!AW8*'Assumptions data'!$T8*'Assumptions data'!$X8+CG7</f>
        <v>98714629.919772595</v>
      </c>
      <c r="CL7" s="234">
        <f>'FIM interventions data'!AX8*'Assumptions data'!$U7*'Assumptions data'!$Z8+CH7</f>
        <v>7111924.5879196534</v>
      </c>
      <c r="CM7" s="235">
        <f>'FIM interventions data'!AY8*'Assumptions data'!$V8*'Assumptions data'!$Y8+CI7</f>
        <v>73594573.791971639</v>
      </c>
    </row>
    <row r="8" spans="1:91">
      <c r="A8" s="9">
        <v>7</v>
      </c>
      <c r="B8" s="1" t="s">
        <v>342</v>
      </c>
      <c r="C8" s="1" t="s">
        <v>343</v>
      </c>
      <c r="D8" s="78">
        <f>'FIM interventions data'!E9*'Assumptions data'!L9*'Local food sourcing'!I8</f>
        <v>15304854.619131409</v>
      </c>
      <c r="E8" s="118">
        <f>'FIM interventions data'!G9*'Assumptions data'!N9*'Local food sourcing'!I8</f>
        <v>35335464.492991321</v>
      </c>
      <c r="F8" s="118">
        <f>'FIM interventions data'!I9*'Assumptions data'!$R8*'Local food sourcing'!$K8</f>
        <v>2187371.1098737489</v>
      </c>
      <c r="G8" s="178">
        <f>'FIM interventions data'!K9*'Assumptions data'!$P8*'Local food sourcing'!$L8</f>
        <v>26343597.207592443</v>
      </c>
      <c r="H8" s="247">
        <f>'FIM interventions data'!L9*'Assumptions data'!$L9*'Local food sourcing'!$I8</f>
        <v>4595444.1130293934</v>
      </c>
      <c r="I8" s="234">
        <f>'FIM interventions data'!M9*'Assumptions data'!$N9*'Local food sourcing'!$I8</f>
        <v>10609846.112650741</v>
      </c>
      <c r="J8" s="234">
        <f>'FIM interventions data'!N9*'Assumptions data'!$R8*'Local food sourcing'!$K8</f>
        <v>656781.25928192365</v>
      </c>
      <c r="K8" s="235">
        <f>'FIM interventions data'!O9*'Assumptions data'!$P8*'Local food sourcing'!$L8</f>
        <v>7909943.0681504104</v>
      </c>
      <c r="L8" s="247">
        <f>'FIM interventions data'!P9*'Assumptions data'!$L9*'Local food sourcing'!$I8</f>
        <v>2204016.0037964666</v>
      </c>
      <c r="M8" s="234">
        <f>'FIM interventions data'!Q9*'Assumptions data'!$N9*'Local food sourcing'!$I8</f>
        <v>5088576.8719934793</v>
      </c>
      <c r="N8" s="234">
        <f>'FIM interventions data'!R9*'Assumptions data'!$R8*'Local food sourcing'!$K8</f>
        <v>314998.1527023082</v>
      </c>
      <c r="O8" s="235">
        <f>'FIM interventions data'!S9*'Assumptions data'!$P8*'Local food sourcing'!$L8</f>
        <v>3793679.2794178668</v>
      </c>
      <c r="P8" s="247">
        <f>'FIM interventions data'!T9*'Assumptions data'!$L9*'Local food sourcing'!$I8</f>
        <v>8113249.3811087525</v>
      </c>
      <c r="Q8" s="234">
        <f>'FIM interventions data'!U9*'Assumptions data'!$N9*'Local food sourcing'!$I8</f>
        <v>18731666.687678881</v>
      </c>
      <c r="R8" s="234">
        <f>'FIM interventions data'!V9*'Assumptions data'!$R8*'Local food sourcing'!$K8</f>
        <v>1159546.2841740821</v>
      </c>
      <c r="S8" s="235">
        <f>'FIM interventions data'!W9*'Assumptions data'!$P8*'Local food sourcing'!$L8</f>
        <v>13964992.092999542</v>
      </c>
      <c r="T8" s="247">
        <f>'FIM interventions data'!X9*'Assumptions data'!$L9*'Local food sourcing'!$I8</f>
        <v>102121.84542831089</v>
      </c>
      <c r="U8" s="234">
        <f>'FIM interventions data'!Y9*'Assumptions data'!$N9*'Local food sourcing'!$I8</f>
        <v>235776.35546959681</v>
      </c>
      <c r="V8" s="234">
        <f>'FIM interventions data'!Z9*'Assumptions data'!$R8*'Local food sourcing'!$K8</f>
        <v>14595.262740859489</v>
      </c>
      <c r="W8" s="235">
        <f>'FIM interventions data'!AA9*'Assumptions data'!$P8*'Local food sourcing'!$L8</f>
        <v>175778.00175223863</v>
      </c>
      <c r="X8" s="118">
        <f>'FIM interventions data'!E9*'Assumptions data'!S9+D8</f>
        <v>374586316.80324119</v>
      </c>
      <c r="Y8" s="118">
        <f>'FIM interventions data'!G9*'Assumptions data'!T9+E8</f>
        <v>450527172.28563935</v>
      </c>
      <c r="Z8" s="118">
        <f>'FIM interventions data'!I9*'Assumptions data'!U8+F8</f>
        <v>312064945.00865483</v>
      </c>
      <c r="AA8" s="178">
        <f>'FIM interventions data'!K9*'Assumptions data'!$V9+G8</f>
        <v>335880864.39680362</v>
      </c>
      <c r="AB8" s="234">
        <f>'FIM interventions data'!L9*'Assumptions data'!$S9+H8</f>
        <v>112473494.6663944</v>
      </c>
      <c r="AC8" s="234">
        <f>'FIM interventions data'!M9*'Assumptions data'!$T9+I8</f>
        <v>135275537.93629697</v>
      </c>
      <c r="AD8" s="234">
        <f>'FIM interventions data'!N9*'Assumptions data'!$U8+J8</f>
        <v>93700792.990887761</v>
      </c>
      <c r="AE8" s="235">
        <f>'FIM interventions data'!O9*'Assumptions data'!$V9+K8</f>
        <v>100851774.11891775</v>
      </c>
      <c r="AF8" s="234">
        <f>'FIM interventions data'!P9*'Assumptions data'!$S9+L8</f>
        <v>53943291.692918517</v>
      </c>
      <c r="AG8" s="234">
        <f>'FIM interventions data'!Q9*'Assumptions data'!$T9+M8</f>
        <v>64879355.117916867</v>
      </c>
      <c r="AH8" s="234">
        <f>'FIM interventions data'!R9*'Assumptions data'!$U8+N8</f>
        <v>44939736.452195972</v>
      </c>
      <c r="AI8" s="235">
        <f>'FIM interventions data'!S9*'Assumptions data'!$V9+O8</f>
        <v>48369410.812577806</v>
      </c>
      <c r="AJ8" s="234">
        <f>'FIM interventions data'!T9*'Assumptions data'!$S9+P8</f>
        <v>198571778.60263672</v>
      </c>
      <c r="AK8" s="234">
        <f>'FIM interventions data'!U9*'Assumptions data'!$T9+Q8</f>
        <v>238828750.26790574</v>
      </c>
      <c r="AL8" s="234">
        <f>'FIM interventions data'!V9*'Assumptions data'!$U8+R8</f>
        <v>165428603.20883569</v>
      </c>
      <c r="AM8" s="235">
        <f>'FIM interventions data'!W9*'Assumptions data'!$V9+S8</f>
        <v>178053649.1857442</v>
      </c>
      <c r="AN8" s="234">
        <f>'FIM interventions data'!X9*'Assumptions data'!$S9+T8</f>
        <v>2499432.1668579089</v>
      </c>
      <c r="AO8" s="234">
        <f>'FIM interventions data'!Y9*'Assumptions data'!$T9+U8</f>
        <v>3006148.5322373593</v>
      </c>
      <c r="AP8" s="234">
        <f>'FIM interventions data'!Z9*'Assumptions data'!$U8+V8</f>
        <v>2082257.4843626204</v>
      </c>
      <c r="AQ8" s="235">
        <f>'FIM interventions data'!AA9*'Assumptions data'!$V9+W8</f>
        <v>2241169.5223410428</v>
      </c>
      <c r="AR8" s="118">
        <f>'FIM interventions data'!AB9*'Assumptions data'!$L9*'Local food sourcing'!$I8</f>
        <v>3123868.3663461767</v>
      </c>
      <c r="AS8" s="118">
        <f>'FIM interventions data'!AC9*'Assumptions data'!$N9*'Local food sourcing'!$I8</f>
        <v>7212308.9363960698</v>
      </c>
      <c r="AT8" s="118">
        <f>'FIM interventions data'!AD9*'Assumptions data'!$R8*'Local food sourcing'!$K8</f>
        <v>446463.52975170739</v>
      </c>
      <c r="AU8" s="178">
        <f>'FIM interventions data'!AE9*'Assumptions data'!$P8*'Local food sourcing'!$L8</f>
        <v>5376982.1419730633</v>
      </c>
      <c r="AV8" s="234">
        <f>'FIM interventions data'!AF9*'Assumptions data'!$L9*'Local food sourcing'!$I8</f>
        <v>3319027.9823207809</v>
      </c>
      <c r="AW8" s="234">
        <f>'FIM interventions data'!AG9*'Assumptions data'!$N9*'Local food sourcing'!$I8</f>
        <v>7662888.5630797632</v>
      </c>
      <c r="AX8" s="234">
        <f>'FIM interventions data'!AH9*'Assumptions data'!$R8*'Local food sourcing'!$K8</f>
        <v>474355.75848697993</v>
      </c>
      <c r="AY8" s="235">
        <f>'FIM interventions data'!AI9*'Assumptions data'!$P8*'Local food sourcing'!$L8</f>
        <v>5712902.1126205958</v>
      </c>
      <c r="AZ8" s="234">
        <f>'FIM interventions data'!AJ9*'Assumptions data'!$L9*'Local food sourcing'!$I8</f>
        <v>604855.72373919119</v>
      </c>
      <c r="BA8" s="234">
        <f>'FIM interventions data'!AK9*'Assumptions data'!$N9*'Local food sourcing'!$I8</f>
        <v>1396475.7249541073</v>
      </c>
      <c r="BB8" s="234">
        <f>'FIM interventions data'!AL9*'Assumptions data'!$R8*'Local food sourcing'!$K8</f>
        <v>86446.030927667234</v>
      </c>
      <c r="BC8" s="235">
        <f>'FIM interventions data'!AM9*'Assumptions data'!$P8*'Local food sourcing'!$L8</f>
        <v>1041112.5065490078</v>
      </c>
      <c r="BD8" s="234">
        <f>'FIM interventions data'!AN9*'Assumptions data'!$L9*'Local food sourcing'!$I8</f>
        <v>616373.44566826383</v>
      </c>
      <c r="BE8" s="234">
        <f>'FIM interventions data'!AO9*'Assumptions data'!$N9*'Local food sourcing'!$I8</f>
        <v>1423067.5524750403</v>
      </c>
      <c r="BF8" s="234">
        <f>'FIM interventions data'!AP9*'Assumptions data'!$R8*'Local food sourcing'!$K8</f>
        <v>88092.144714839073</v>
      </c>
      <c r="BG8" s="235">
        <f>'FIM interventions data'!AQ9*'Assumptions data'!$P8*'Local food sourcing'!$L8</f>
        <v>1060937.4728619361</v>
      </c>
      <c r="BH8" s="234">
        <f>'FIM interventions data'!AR9*'Assumptions data'!$L9*'Local food sourcing'!$I8</f>
        <v>12792.764774908692</v>
      </c>
      <c r="BI8" s="234">
        <f>'FIM interventions data'!AS9*'Assumptions data'!$N9*'Local food sourcing'!$I8</f>
        <v>29535.614464832499</v>
      </c>
      <c r="BJ8" s="234">
        <f>'FIM interventions data'!AT9*'Assumptions data'!$R8*'Local food sourcing'!$K8</f>
        <v>1828.3430179772536</v>
      </c>
      <c r="BK8" s="235">
        <f>'FIM interventions data'!AU9*'Assumptions data'!$P8*'Local food sourcing'!$L8</f>
        <v>22019.643491445178</v>
      </c>
      <c r="BL8" s="118">
        <f>'FIM interventions data'!AB9*'Assumptions data'!$S9*'Assumptions data'!$W9+AR8</f>
        <v>58123475.791328549</v>
      </c>
      <c r="BM8" s="118">
        <f>'FIM interventions data'!AC9*'Assumptions data'!$T9*'Assumptions data'!$X9+AS8</f>
        <v>49584623.937722988</v>
      </c>
      <c r="BN8" s="234">
        <f>'FIM interventions data'!AD9*'Assumptions data'!$U8*'Assumptions data'!$Z9+AT8</f>
        <v>3608913.5321596349</v>
      </c>
      <c r="BO8" s="235">
        <f>'FIM interventions data'!AE9*'Assumptions data'!$V9*'Assumptions data'!$Y9+AU8</f>
        <v>36966752.226064809</v>
      </c>
      <c r="BP8" s="234">
        <f>'FIM interventions data'!AF9*'Assumptions data'!$S9*'Assumptions data'!$W9+AV8</f>
        <v>61754664.396056034</v>
      </c>
      <c r="BQ8" s="234">
        <f>'FIM interventions data'!AG9*'Assumptions data'!$T9*'Assumptions data'!$X9+AW8</f>
        <v>52682358.871173382</v>
      </c>
      <c r="BR8" s="234">
        <f>'FIM interventions data'!AH9*'Assumptions data'!$U8*'Assumptions data'!$Z9+AX8</f>
        <v>3834375.7144364207</v>
      </c>
      <c r="BS8" s="235">
        <f>'FIM interventions data'!AI9*'Assumptions data'!$V9*'Assumptions data'!$Y9+AY8</f>
        <v>39276202.024266601</v>
      </c>
      <c r="BT8" s="234">
        <f>'FIM interventions data'!AJ9*'Assumptions data'!$S9*'Assumptions data'!$W9+AZ8</f>
        <v>11254096.809822327</v>
      </c>
      <c r="BU8" s="234">
        <f>'FIM interventions data'!AK9*'Assumptions data'!$T9*'Assumptions data'!$X9+BA8</f>
        <v>9600770.6090594884</v>
      </c>
      <c r="BV8" s="234">
        <f>'FIM interventions data'!AL9*'Assumptions data'!$U8*'Assumptions data'!$Z9+BB8</f>
        <v>698772.08333197678</v>
      </c>
      <c r="BW8" s="235">
        <f>'FIM interventions data'!AM9*'Assumptions data'!$V9*'Assumptions data'!$Y9+BC8</f>
        <v>7157648.4825244294</v>
      </c>
      <c r="BX8" s="234">
        <f>'FIM interventions data'!AN9*'Assumptions data'!$S9*'Assumptions data'!$W9+BD8</f>
        <v>11468398.423465135</v>
      </c>
      <c r="BY8" s="234">
        <f>'FIM interventions data'!AO9*'Assumptions data'!$T9*'Assumptions data'!$X9+BE8</f>
        <v>9783589.4232659023</v>
      </c>
      <c r="BZ8" s="234">
        <f>'FIM interventions data'!AP9*'Assumptions data'!$U8*'Assumptions data'!$Z9+BF8</f>
        <v>712078.1697782824</v>
      </c>
      <c r="CA8" s="235">
        <f>'FIM interventions data'!AQ9*'Assumptions data'!$V9*'Assumptions data'!$Y9+BG8</f>
        <v>7293945.125925811</v>
      </c>
      <c r="CB8" s="234">
        <f>'FIM interventions data'!AR9*'Assumptions data'!$S9*'Assumptions data'!$W9+BH8</f>
        <v>238025.37959314484</v>
      </c>
      <c r="CC8" s="234">
        <f>'FIM interventions data'!AS9*'Assumptions data'!$T9*'Assumptions data'!$X9+BI8</f>
        <v>203057.34944572346</v>
      </c>
      <c r="CD8" s="234">
        <f>'FIM interventions data'!AT9*'Assumptions data'!$U8*'Assumptions data'!$Z9+BJ8</f>
        <v>14779.1060619828</v>
      </c>
      <c r="CE8" s="234">
        <f>'FIM interventions data'!AU9*'Assumptions data'!$V9*'Assumptions data'!$Y9+BK8</f>
        <v>151385.04900368559</v>
      </c>
      <c r="CF8" s="247">
        <f>'FIM interventions data'!AV9*'Assumptions data'!$L9*'Local food sourcing'!$I8</f>
        <v>3756972.3814714686</v>
      </c>
      <c r="CG8" s="234">
        <f>'FIM interventions data'!AW9*'Assumptions data'!$N9*'Local food sourcing'!$I8</f>
        <v>8674003.6080243569</v>
      </c>
      <c r="CH8" s="234">
        <f>'FIM interventions data'!AX9*'Assumptions data'!$R8*'Local food sourcing'!$K8</f>
        <v>536946.80886100803</v>
      </c>
      <c r="CI8" s="234">
        <f>'FIM interventions data'!AY9*'Assumptions data'!$P8*'Local food sourcing'!$L8</f>
        <v>6466717.234531343</v>
      </c>
      <c r="CJ8" s="247">
        <f>'FIM interventions data'!AV9*'Assumptions data'!$S9*'Assumptions data'!$W9+CF8</f>
        <v>69903167.372753516</v>
      </c>
      <c r="CK8" s="234">
        <f>'FIM interventions data'!AW9*'Assumptions data'!$T9*'Assumptions data'!$X9+CG8</f>
        <v>59633774.805167466</v>
      </c>
      <c r="CL8" s="234">
        <f>'FIM interventions data'!AX9*'Assumptions data'!$U8*'Assumptions data'!$Z9+CH8</f>
        <v>4340320.0382931484</v>
      </c>
      <c r="CM8" s="235">
        <f>'FIM interventions data'!AY9*'Assumptions data'!$V9*'Assumptions data'!$Y9+CI8</f>
        <v>44458680.987402983</v>
      </c>
    </row>
    <row r="9" spans="1:91">
      <c r="A9" s="9">
        <v>8</v>
      </c>
      <c r="B9" s="1" t="s">
        <v>348</v>
      </c>
      <c r="C9" s="1" t="s">
        <v>349</v>
      </c>
      <c r="D9" s="78">
        <f>'FIM interventions data'!E10*'Assumptions data'!L10*'Local food sourcing'!I9</f>
        <v>9622399.7084719408</v>
      </c>
      <c r="E9" s="118">
        <f>'FIM interventions data'!G10*'Assumptions data'!N10*'Local food sourcing'!I9</f>
        <v>22215955.113422494</v>
      </c>
      <c r="F9" s="118">
        <f>'FIM interventions data'!I10*'Assumptions data'!$R9*'Local food sourcing'!$K9</f>
        <v>1375234.1759364994</v>
      </c>
      <c r="G9" s="178">
        <f>'FIM interventions data'!K10*'Assumptions data'!$P9*'Local food sourcing'!$L9</f>
        <v>16562628.551438399</v>
      </c>
      <c r="H9" s="247">
        <f>'FIM interventions data'!L10*'Assumptions data'!$L10*'Local food sourcing'!$I9</f>
        <v>2017968.2100484287</v>
      </c>
      <c r="I9" s="234">
        <f>'FIM interventions data'!M10*'Assumptions data'!$N10*'Local food sourcing'!$I9</f>
        <v>4659034.3919384638</v>
      </c>
      <c r="J9" s="234">
        <f>'FIM interventions data'!N10*'Assumptions data'!$R9*'Local food sourcing'!$K9</f>
        <v>288408.18636629975</v>
      </c>
      <c r="K9" s="235">
        <f>'FIM interventions data'!O10*'Assumptions data'!$P9*'Local food sourcing'!$L9</f>
        <v>3473443.1019547381</v>
      </c>
      <c r="L9" s="247">
        <f>'FIM interventions data'!P10*'Assumptions data'!$L10*'Local food sourcing'!$I9</f>
        <v>2787953.2048677537</v>
      </c>
      <c r="M9" s="234">
        <f>'FIM interventions data'!Q10*'Assumptions data'!$N10*'Local food sourcing'!$I9</f>
        <v>6436756.4364565499</v>
      </c>
      <c r="N9" s="234">
        <f>'FIM interventions data'!R10*'Assumptions data'!$R9*'Local food sourcing'!$K9</f>
        <v>398454.50661025289</v>
      </c>
      <c r="O9" s="235">
        <f>'FIM interventions data'!S10*'Assumptions data'!$P9*'Local food sourcing'!$L9</f>
        <v>4798785.6200113809</v>
      </c>
      <c r="P9" s="247">
        <f>'FIM interventions data'!T10*'Assumptions data'!$L10*'Local food sourcing'!$I9</f>
        <v>5193277.5667844322</v>
      </c>
      <c r="Q9" s="234">
        <f>'FIM interventions data'!U10*'Assumptions data'!$N10*'Local food sourcing'!$I9</f>
        <v>11990108.996786676</v>
      </c>
      <c r="R9" s="234">
        <f>'FIM interventions data'!V10*'Assumptions data'!$R9*'Local food sourcing'!$K9</f>
        <v>742223.6667926216</v>
      </c>
      <c r="S9" s="235">
        <f>'FIM interventions data'!W10*'Assumptions data'!$P9*'Local food sourcing'!$L9</f>
        <v>8938968.4391761422</v>
      </c>
      <c r="T9" s="247">
        <f>'FIM interventions data'!X10*'Assumptions data'!$L10*'Local food sourcing'!$I9</f>
        <v>107536.02494539075</v>
      </c>
      <c r="U9" s="234">
        <f>'FIM interventions data'!Y10*'Assumptions data'!$N10*'Local food sourcing'!$I9</f>
        <v>248276.4773489194</v>
      </c>
      <c r="V9" s="234">
        <f>'FIM interventions data'!Z10*'Assumptions data'!$R9*'Local food sourcing'!$K9</f>
        <v>15369.057732974401</v>
      </c>
      <c r="W9" s="235">
        <f>'FIM interventions data'!AA10*'Assumptions data'!$P9*'Local food sourcing'!$L9</f>
        <v>185097.19935044774</v>
      </c>
      <c r="X9" s="118">
        <f>'FIM interventions data'!E10*'Assumptions data'!S10+D9</f>
        <v>122565316.28666134</v>
      </c>
      <c r="Y9" s="118">
        <f>'FIM interventions data'!G10*'Assumptions data'!T10+E9</f>
        <v>152734691.40477964</v>
      </c>
      <c r="Z9" s="118">
        <f>'FIM interventions data'!I10*'Assumptions data'!U9+F9</f>
        <v>98787654.971438542</v>
      </c>
      <c r="AA9" s="178">
        <f>'FIM interventions data'!K10*'Assumptions data'!$V10+G9</f>
        <v>113868071.29113901</v>
      </c>
      <c r="AB9" s="234">
        <f>'FIM interventions data'!L10*'Assumptions data'!$S10+H9</f>
        <v>25703870.075491861</v>
      </c>
      <c r="AC9" s="234">
        <f>'FIM interventions data'!M10*'Assumptions data'!$T10+I9</f>
        <v>32030861.444576941</v>
      </c>
      <c r="AD9" s="234">
        <f>'FIM interventions data'!N10*'Assumptions data'!$U9+J9</f>
        <v>20717321.387312531</v>
      </c>
      <c r="AE9" s="235">
        <f>'FIM interventions data'!O10*'Assumptions data'!$V10+K9</f>
        <v>23879921.325938828</v>
      </c>
      <c r="AF9" s="234">
        <f>'FIM interventions data'!P10*'Assumptions data'!$S10+L9</f>
        <v>35511553.947003007</v>
      </c>
      <c r="AG9" s="234">
        <f>'FIM interventions data'!Q10*'Assumptions data'!$T10+M9</f>
        <v>44252700.500638783</v>
      </c>
      <c r="AH9" s="234">
        <f>'FIM interventions data'!R10*'Assumptions data'!$U9+N9</f>
        <v>28622315.391503163</v>
      </c>
      <c r="AI9" s="235">
        <f>'FIM interventions data'!S10*'Assumptions data'!$V10+O9</f>
        <v>32991651.137578249</v>
      </c>
      <c r="AJ9" s="234">
        <f>'FIM interventions data'!T10*'Assumptions data'!$S10+P9</f>
        <v>66149373.006916702</v>
      </c>
      <c r="AK9" s="234">
        <f>'FIM interventions data'!U10*'Assumptions data'!$T10+Q9</f>
        <v>82431999.352908403</v>
      </c>
      <c r="AL9" s="234">
        <f>'FIM interventions data'!V10*'Assumptions data'!$U9+R9</f>
        <v>53316400.064603329</v>
      </c>
      <c r="AM9" s="235">
        <f>'FIM interventions data'!W10*'Assumptions data'!$V10+S9</f>
        <v>61455408.019335985</v>
      </c>
      <c r="AN9" s="234">
        <f>'FIM interventions data'!X10*'Assumptions data'!$S10+T9</f>
        <v>1369740.1177419145</v>
      </c>
      <c r="AO9" s="234">
        <f>'FIM interventions data'!Y10*'Assumptions data'!$T10+U9</f>
        <v>1706900.781773821</v>
      </c>
      <c r="AP9" s="234">
        <f>'FIM interventions data'!Z10*'Assumptions data'!$U9+V9</f>
        <v>1104010.6471519945</v>
      </c>
      <c r="AQ9" s="235">
        <f>'FIM interventions data'!AA10*'Assumptions data'!$V10+W9</f>
        <v>1272543.2455343283</v>
      </c>
      <c r="AR9" s="118">
        <f>'FIM interventions data'!AB10*'Assumptions data'!$L10*'Local food sourcing'!$I9</f>
        <v>2169386.8385802084</v>
      </c>
      <c r="AS9" s="118">
        <f>'FIM interventions data'!AC10*'Assumptions data'!$N10*'Local food sourcing'!$I9</f>
        <v>5008625.9238550076</v>
      </c>
      <c r="AT9" s="118">
        <f>'FIM interventions data'!AD10*'Assumptions data'!$R9*'Local food sourcing'!$K9</f>
        <v>310048.94949599996</v>
      </c>
      <c r="AU9" s="178">
        <f>'FIM interventions data'!AE10*'Assumptions data'!$P9*'Local food sourcing'!$L9</f>
        <v>3734073.5658848602</v>
      </c>
      <c r="AV9" s="234">
        <f>'FIM interventions data'!AF10*'Assumptions data'!$L10*'Local food sourcing'!$I9</f>
        <v>1662417.443204277</v>
      </c>
      <c r="AW9" s="234">
        <f>'FIM interventions data'!AG10*'Assumptions data'!$N10*'Local food sourcing'!$I9</f>
        <v>3838147.6987991096</v>
      </c>
      <c r="AX9" s="234">
        <f>'FIM interventions data'!AH10*'Assumptions data'!$R9*'Local food sourcing'!$K9</f>
        <v>237592.84085389055</v>
      </c>
      <c r="AY9" s="235">
        <f>'FIM interventions data'!AI10*'Assumptions data'!$P9*'Local food sourcing'!$L9</f>
        <v>2861448.6451838375</v>
      </c>
      <c r="AZ9" s="234">
        <f>'FIM interventions data'!AJ10*'Assumptions data'!$L10*'Local food sourcing'!$I9</f>
        <v>662695.96975091973</v>
      </c>
      <c r="BA9" s="234">
        <f>'FIM interventions data'!AK10*'Assumptions data'!$N10*'Local food sourcing'!$I9</f>
        <v>1530015.8342902986</v>
      </c>
      <c r="BB9" s="234">
        <f>'FIM interventions data'!AL10*'Assumptions data'!$R9*'Local food sourcing'!$K9</f>
        <v>94712.563754179355</v>
      </c>
      <c r="BC9" s="235">
        <f>'FIM interventions data'!AM10*'Assumptions data'!$P9*'Local food sourcing'!$L9</f>
        <v>1140670.469119678</v>
      </c>
      <c r="BD9" s="234">
        <f>'FIM interventions data'!AN10*'Assumptions data'!$L10*'Local food sourcing'!$I9</f>
        <v>702806.62522612186</v>
      </c>
      <c r="BE9" s="234">
        <f>'FIM interventions data'!AO10*'Assumptions data'!$N10*'Local food sourcing'!$I9</f>
        <v>1622622.309660729</v>
      </c>
      <c r="BF9" s="234">
        <f>'FIM interventions data'!AP10*'Assumptions data'!$R9*'Local food sourcing'!$K9</f>
        <v>100445.18200949315</v>
      </c>
      <c r="BG9" s="235">
        <f>'FIM interventions data'!AQ10*'Assumptions data'!$P9*'Local food sourcing'!$L9</f>
        <v>1209711.2393763515</v>
      </c>
      <c r="BH9" s="234">
        <f>'FIM interventions data'!AR10*'Assumptions data'!$L10*'Local food sourcing'!$I9</f>
        <v>13721.019055913681</v>
      </c>
      <c r="BI9" s="234">
        <f>'FIM interventions data'!AS10*'Assumptions data'!$N10*'Local food sourcing'!$I9</f>
        <v>31678.744667841282</v>
      </c>
      <c r="BJ9" s="234">
        <f>'FIM interventions data'!AT10*'Assumptions data'!$R9*'Local food sourcing'!$K9</f>
        <v>1961.009197919195</v>
      </c>
      <c r="BK9" s="235">
        <f>'FIM interventions data'!AU10*'Assumptions data'!$P9*'Local food sourcing'!$L9</f>
        <v>23617.408219928868</v>
      </c>
      <c r="BL9" s="118">
        <f>'FIM interventions data'!AB10*'Assumptions data'!$S10*'Assumptions data'!$W10+AR9</f>
        <v>21266770.351956606</v>
      </c>
      <c r="BM9" s="118">
        <f>'FIM interventions data'!AC10*'Assumptions data'!$T10*'Assumptions data'!$X10+AS9</f>
        <v>19721464.575179093</v>
      </c>
      <c r="BN9" s="234">
        <f>'FIM interventions data'!AD10*'Assumptions data'!$U9*'Assumptions data'!$Z10+AT9</f>
        <v>1408138.9789609998</v>
      </c>
      <c r="BO9" s="235">
        <f>'FIM interventions data'!AE10*'Assumptions data'!$V10*'Assumptions data'!$Y10+AU9</f>
        <v>14702914.665671637</v>
      </c>
      <c r="BP9" s="234">
        <f>'FIM interventions data'!AF10*'Assumptions data'!$S10*'Assumptions data'!$W10+AV9</f>
        <v>16296885.997911928</v>
      </c>
      <c r="BQ9" s="234">
        <f>'FIM interventions data'!AG10*'Assumptions data'!$T10*'Assumptions data'!$X10+AW9</f>
        <v>15112706.564021494</v>
      </c>
      <c r="BR9" s="234">
        <f>'FIM interventions data'!AH10*'Assumptions data'!$U9*'Assumptions data'!$Z10+AX9</f>
        <v>1079067.485544753</v>
      </c>
      <c r="BS9" s="235">
        <f>'FIM interventions data'!AI10*'Assumptions data'!$V10*'Assumptions data'!$Y10+AY9</f>
        <v>11266954.040411361</v>
      </c>
      <c r="BT9" s="234">
        <f>'FIM interventions data'!AJ10*'Assumptions data'!$S10*'Assumptions data'!$W10+AZ9</f>
        <v>6496491.4284644844</v>
      </c>
      <c r="BU9" s="234">
        <f>'FIM interventions data'!AK10*'Assumptions data'!$T10*'Assumptions data'!$X10+BA9</f>
        <v>6024437.347518051</v>
      </c>
      <c r="BV9" s="234">
        <f>'FIM interventions data'!AL10*'Assumptions data'!$U9*'Assumptions data'!$Z10+BB9</f>
        <v>430152.89371689787</v>
      </c>
      <c r="BW9" s="235">
        <f>'FIM interventions data'!AM10*'Assumptions data'!$V10*'Assumptions data'!$Y10+BC9</f>
        <v>4491389.9721587319</v>
      </c>
      <c r="BX9" s="234">
        <f>'FIM interventions data'!AN10*'Assumptions data'!$S10*'Assumptions data'!$W10+BD9</f>
        <v>6889701.1979198251</v>
      </c>
      <c r="BY9" s="234">
        <f>'FIM interventions data'!AO10*'Assumptions data'!$T10*'Assumptions data'!$X10+BE9</f>
        <v>6389075.3442891212</v>
      </c>
      <c r="BZ9" s="234">
        <f>'FIM interventions data'!AP10*'Assumptions data'!$U9*'Assumptions data'!$Z10+BF9</f>
        <v>456188.53495978145</v>
      </c>
      <c r="CA9" s="235">
        <f>'FIM interventions data'!AQ10*'Assumptions data'!$V10*'Assumptions data'!$Y10+BG9</f>
        <v>4763238.0050443839</v>
      </c>
      <c r="CB9" s="234">
        <f>'FIM interventions data'!AR10*'Assumptions data'!$S10*'Assumptions data'!$W10+BH9</f>
        <v>134508.86493250378</v>
      </c>
      <c r="CC9" s="234">
        <f>'FIM interventions data'!AS10*'Assumptions data'!$T10*'Assumptions data'!$X10+BI9</f>
        <v>124735.05712962506</v>
      </c>
      <c r="CD9" s="234">
        <f>'FIM interventions data'!AT10*'Assumptions data'!$U9*'Assumptions data'!$Z10+BJ9</f>
        <v>8906.250107216345</v>
      </c>
      <c r="CE9" s="234">
        <f>'FIM interventions data'!AU10*'Assumptions data'!$V10*'Assumptions data'!$Y10+BK9</f>
        <v>92993.544865969918</v>
      </c>
      <c r="CF9" s="247">
        <f>'FIM interventions data'!AV10*'Assumptions data'!$L10*'Local food sourcing'!$I9</f>
        <v>2336840.54208253</v>
      </c>
      <c r="CG9" s="234">
        <f>'FIM interventions data'!AW10*'Assumptions data'!$N10*'Local food sourcing'!$I9</f>
        <v>5395238.8346976712</v>
      </c>
      <c r="CH9" s="234">
        <f>'FIM interventions data'!AX10*'Assumptions data'!$R9*'Local food sourcing'!$K9</f>
        <v>333981.44688963605</v>
      </c>
      <c r="CI9" s="234">
        <f>'FIM interventions data'!AY10*'Assumptions data'!$P9*'Local food sourcing'!$L9</f>
        <v>4022304.5243462683</v>
      </c>
      <c r="CJ9" s="247">
        <f>'FIM interventions data'!AV10*'Assumptions data'!$S10*'Assumptions data'!$W10+CF9</f>
        <v>22908339.939102802</v>
      </c>
      <c r="CK9" s="234">
        <f>'FIM interventions data'!AW10*'Assumptions data'!$T10*'Assumptions data'!$X10+CG9</f>
        <v>21243752.911622085</v>
      </c>
      <c r="CL9" s="234">
        <f>'FIM interventions data'!AX10*'Assumptions data'!$U9*'Assumptions data'!$Z10+CH9</f>
        <v>1516832.4046237639</v>
      </c>
      <c r="CM9" s="235">
        <f>'FIM interventions data'!AY10*'Assumptions data'!$V10*'Assumptions data'!$Y10+CI9</f>
        <v>15837824.064613434</v>
      </c>
    </row>
    <row r="10" spans="1:91">
      <c r="A10" s="9">
        <v>9</v>
      </c>
      <c r="B10" s="1" t="s">
        <v>353</v>
      </c>
      <c r="C10" s="1" t="s">
        <v>354</v>
      </c>
      <c r="D10" s="78">
        <f>'FIM interventions data'!E11*'Assumptions data'!L11*'Local food sourcing'!I10</f>
        <v>144702139.0894796</v>
      </c>
      <c r="E10" s="118">
        <f>'FIM interventions data'!G11*'Assumptions data'!N11*'Local food sourcing'!I10</f>
        <v>334084669.5443083</v>
      </c>
      <c r="F10" s="118">
        <f>'FIM interventions data'!I11*'Assumptions data'!$R10*'Local food sourcing'!$K10</f>
        <v>20680841.893500056</v>
      </c>
      <c r="G10" s="178">
        <f>'FIM interventions data'!K11*'Assumptions data'!$P10*'Local food sourcing'!$L10</f>
        <v>249069655.48599297</v>
      </c>
      <c r="H10" s="247">
        <f>'FIM interventions data'!L11*'Assumptions data'!$L11*'Local food sourcing'!$I10</f>
        <v>28321749.438838273</v>
      </c>
      <c r="I10" s="234">
        <f>'FIM interventions data'!M11*'Assumptions data'!$N11*'Local food sourcing'!$I10</f>
        <v>65388544.783985831</v>
      </c>
      <c r="J10" s="234">
        <f>'FIM interventions data'!N11*'Assumptions data'!$R10*'Local food sourcing'!$K10</f>
        <v>4047746.81271123</v>
      </c>
      <c r="K10" s="235">
        <f>'FIM interventions data'!O11*'Assumptions data'!$P10*'Local food sourcing'!$L10</f>
        <v>48749026.240241133</v>
      </c>
      <c r="L10" s="247">
        <f>'FIM interventions data'!P11*'Assumptions data'!$L11*'Local food sourcing'!$I10</f>
        <v>40241779.23277922</v>
      </c>
      <c r="M10" s="234">
        <f>'FIM interventions data'!Q11*'Assumptions data'!$N11*'Local food sourcing'!$I10</f>
        <v>92909210.613290057</v>
      </c>
      <c r="N10" s="234">
        <f>'FIM interventions data'!R11*'Assumptions data'!$R10*'Local food sourcing'!$K10</f>
        <v>5751358.4737791037</v>
      </c>
      <c r="O10" s="235">
        <f>'FIM interventions data'!S11*'Assumptions data'!$P10*'Local food sourcing'!$L10</f>
        <v>69266468.019894108</v>
      </c>
      <c r="P10" s="247">
        <f>'FIM interventions data'!T11*'Assumptions data'!$L11*'Local food sourcing'!$I10</f>
        <v>73209781.220530987</v>
      </c>
      <c r="Q10" s="234">
        <f>'FIM interventions data'!U11*'Assumptions data'!$N11*'Local food sourcing'!$I10</f>
        <v>169024906.7524007</v>
      </c>
      <c r="R10" s="234">
        <f>'FIM interventions data'!V11*'Assumptions data'!$R10*'Local food sourcing'!$K10</f>
        <v>10463148.091703694</v>
      </c>
      <c r="S10" s="235">
        <f>'FIM interventions data'!W11*'Assumptions data'!$P10*'Local food sourcing'!$L10</f>
        <v>126012891.73428871</v>
      </c>
      <c r="T10" s="247">
        <f>'FIM interventions data'!X11*'Assumptions data'!$L11*'Local food sourcing'!$I10</f>
        <v>2564076.7976686945</v>
      </c>
      <c r="U10" s="234">
        <f>'FIM interventions data'!Y11*'Assumptions data'!$N11*'Local food sourcing'!$I10</f>
        <v>5919876.2024220387</v>
      </c>
      <c r="V10" s="234">
        <f>'FIM interventions data'!Z11*'Assumptions data'!$R10*'Local food sourcing'!$K10</f>
        <v>366458.07165703113</v>
      </c>
      <c r="W10" s="235">
        <f>'FIM interventions data'!AA11*'Assumptions data'!$P10*'Local food sourcing'!$L10</f>
        <v>4413436.6544509577</v>
      </c>
      <c r="X10" s="118">
        <f>'FIM interventions data'!E11*'Assumptions data'!S11+D10</f>
        <v>2409290615.8398356</v>
      </c>
      <c r="Y10" s="118">
        <f>'FIM interventions data'!G11*'Assumptions data'!T11+E10</f>
        <v>2951081247.6413903</v>
      </c>
      <c r="Z10" s="118">
        <f>'FIM interventions data'!I11*'Assumptions data'!U10+F10</f>
        <v>1973871465.1685052</v>
      </c>
      <c r="AA10" s="178">
        <f>'FIM interventions data'!K11*'Assumptions data'!$V11+G10</f>
        <v>2200115290.1262717</v>
      </c>
      <c r="AB10" s="234">
        <f>'FIM interventions data'!L11*'Assumptions data'!$S11+H10</f>
        <v>471557128.15665734</v>
      </c>
      <c r="AC10" s="234">
        <f>'FIM interventions data'!M11*'Assumptions data'!$T11+I10</f>
        <v>577598812.25854158</v>
      </c>
      <c r="AD10" s="234">
        <f>'FIM interventions data'!N11*'Assumptions data'!$U10+J10</f>
        <v>386334945.79099411</v>
      </c>
      <c r="AE10" s="235">
        <f>'FIM interventions data'!O11*'Assumptions data'!$V11+K10</f>
        <v>430616398.45546341</v>
      </c>
      <c r="AF10" s="234">
        <f>'FIM interventions data'!P11*'Assumptions data'!$S11+L10</f>
        <v>670025624.22577417</v>
      </c>
      <c r="AG10" s="234">
        <f>'FIM interventions data'!Q11*'Assumptions data'!$T11+M10</f>
        <v>820698027.08406234</v>
      </c>
      <c r="AH10" s="234">
        <f>'FIM interventions data'!R11*'Assumptions data'!$U10+N10</f>
        <v>548935214.33069444</v>
      </c>
      <c r="AI10" s="235">
        <f>'FIM interventions data'!S11*'Assumptions data'!$V11+O10</f>
        <v>611853800.84239805</v>
      </c>
      <c r="AJ10" s="234">
        <f>'FIM interventions data'!T11*'Assumptions data'!$S11+P10</f>
        <v>1218942857.3218412</v>
      </c>
      <c r="AK10" s="234">
        <f>'FIM interventions data'!U11*'Assumptions data'!$T11+Q10</f>
        <v>1493053342.9795396</v>
      </c>
      <c r="AL10" s="234">
        <f>'FIM interventions data'!V11*'Assumptions data'!$U10+R10</f>
        <v>998649356.75260806</v>
      </c>
      <c r="AM10" s="235">
        <f>'FIM interventions data'!W11*'Assumptions data'!$V11+S10</f>
        <v>1113113876.986217</v>
      </c>
      <c r="AN10" s="234">
        <f>'FIM interventions data'!X11*'Assumptions data'!$S11+T10</f>
        <v>42691878.68118377</v>
      </c>
      <c r="AO10" s="234">
        <f>'FIM interventions data'!Y11*'Assumptions data'!$T11+U10</f>
        <v>52292239.788061351</v>
      </c>
      <c r="AP10" s="234">
        <f>'FIM interventions data'!Z11*'Assumptions data'!$U10+V10</f>
        <v>34976387.061487749</v>
      </c>
      <c r="AQ10" s="235">
        <f>'FIM interventions data'!AA11*'Assumptions data'!$V11+W10</f>
        <v>38985357.114316799</v>
      </c>
      <c r="AR10" s="118">
        <f>'FIM interventions data'!AB11*'Assumptions data'!$L11*'Local food sourcing'!$I10</f>
        <v>40216899.459960736</v>
      </c>
      <c r="AS10" s="118">
        <f>'FIM interventions data'!AC11*'Assumptions data'!$N11*'Local food sourcing'!$I10</f>
        <v>92851768.817801043</v>
      </c>
      <c r="AT10" s="118">
        <f>'FIM interventions data'!AD11*'Assumptions data'!$R10*'Local food sourcing'!$K10</f>
        <v>5747802.654554571</v>
      </c>
      <c r="AU10" s="178">
        <f>'FIM interventions data'!AE11*'Assumptions data'!$P10*'Local food sourcing'!$L10</f>
        <v>69223643.522043109</v>
      </c>
      <c r="AV10" s="234">
        <f>'FIM interventions data'!AF11*'Assumptions data'!$L11*'Local food sourcing'!$I10</f>
        <v>24482214.639196068</v>
      </c>
      <c r="AW10" s="234">
        <f>'FIM interventions data'!AG11*'Assumptions data'!$N11*'Local food sourcing'!$I10</f>
        <v>56523923.135586172</v>
      </c>
      <c r="AX10" s="234">
        <f>'FIM interventions data'!AH11*'Assumptions data'!$R10*'Local food sourcing'!$K10</f>
        <v>3499000.1760986899</v>
      </c>
      <c r="AY10" s="235">
        <f>'FIM interventions data'!AI11*'Assumptions data'!$P10*'Local food sourcing'!$L10</f>
        <v>42140197.816619761</v>
      </c>
      <c r="AZ10" s="234">
        <f>'FIM interventions data'!AJ11*'Assumptions data'!$L11*'Local food sourcing'!$I10</f>
        <v>12024393.268922873</v>
      </c>
      <c r="BA10" s="234">
        <f>'FIM interventions data'!AK11*'Assumptions data'!$N11*'Local food sourcing'!$I10</f>
        <v>27761617.602866288</v>
      </c>
      <c r="BB10" s="234">
        <f>'FIM interventions data'!AL11*'Assumptions data'!$R10*'Local food sourcing'!$K10</f>
        <v>1718527.2976931399</v>
      </c>
      <c r="BC10" s="235">
        <f>'FIM interventions data'!AM11*'Assumptions data'!$P10*'Local food sourcing'!$L10</f>
        <v>20697078.203292809</v>
      </c>
      <c r="BD10" s="234">
        <f>'FIM interventions data'!AN11*'Assumptions data'!$L11*'Local food sourcing'!$I10</f>
        <v>11440478.058070829</v>
      </c>
      <c r="BE10" s="234">
        <f>'FIM interventions data'!AO11*'Assumptions data'!$N11*'Local food sourcing'!$I10</f>
        <v>26413488.808869887</v>
      </c>
      <c r="BF10" s="234">
        <f>'FIM interventions data'!AP11*'Assumptions data'!$R10*'Local food sourcing'!$K10</f>
        <v>1635074.0866291798</v>
      </c>
      <c r="BG10" s="235">
        <f>'FIM interventions data'!AQ11*'Assumptions data'!$P10*'Local food sourcing'!$L10</f>
        <v>19692009.713531122</v>
      </c>
      <c r="BH10" s="234">
        <f>'FIM interventions data'!AR11*'Assumptions data'!$L11*'Local food sourcing'!$I10</f>
        <v>583567.06006077619</v>
      </c>
      <c r="BI10" s="234">
        <f>'FIM interventions data'!AS11*'Assumptions data'!$N11*'Local food sourcing'!$I10</f>
        <v>1347324.9921812823</v>
      </c>
      <c r="BJ10" s="234">
        <f>'FIM interventions data'!AT11*'Assumptions data'!$R10*'Local food sourcing'!$K10</f>
        <v>83403.453323579786</v>
      </c>
      <c r="BK10" s="235">
        <f>'FIM interventions data'!AU11*'Assumptions data'!$P10*'Local food sourcing'!$L10</f>
        <v>1004469.2325690624</v>
      </c>
      <c r="BL10" s="118">
        <f>'FIM interventions data'!AB11*'Assumptions data'!$S11*'Assumptions data'!$W11+AR10</f>
        <v>512262756.87124997</v>
      </c>
      <c r="BM10" s="118">
        <f>'FIM interventions data'!AC11*'Assumptions data'!$T11*'Assumptions data'!$X11+AS10</f>
        <v>456521196.68752187</v>
      </c>
      <c r="BN10" s="234">
        <f>'FIM interventions data'!AD11*'Assumptions data'!$U10*'Assumptions data'!$Z11+AT10</f>
        <v>32890204.078840051</v>
      </c>
      <c r="BO10" s="235">
        <f>'FIM interventions data'!AE11*'Assumptions data'!$V11*'Assumptions data'!$Y11+AU10</f>
        <v>340349580.65004534</v>
      </c>
      <c r="BP10" s="234">
        <f>'FIM interventions data'!AF11*'Assumptions data'!$S11*'Assumptions data'!$W11+AV10</f>
        <v>311842208.96675992</v>
      </c>
      <c r="BQ10" s="234">
        <f>'FIM interventions data'!AG11*'Assumptions data'!$T11*'Assumptions data'!$X11+AW10</f>
        <v>277909288.74996537</v>
      </c>
      <c r="BR10" s="234">
        <f>'FIM interventions data'!AH11*'Assumptions data'!$U10*'Assumptions data'!$Z11+AX10</f>
        <v>20022056.563231394</v>
      </c>
      <c r="BS10" s="235">
        <f>'FIM interventions data'!AI11*'Assumptions data'!$V11*'Assumptions data'!$Y11+AY10</f>
        <v>207189305.93171385</v>
      </c>
      <c r="BT10" s="234">
        <f>'FIM interventions data'!AJ11*'Assumptions data'!$S11*'Assumptions data'!$W11+AZ10</f>
        <v>153160709.26290512</v>
      </c>
      <c r="BU10" s="234">
        <f>'FIM interventions data'!AK11*'Assumptions data'!$T11*'Assumptions data'!$X11+BA10</f>
        <v>136494619.88075927</v>
      </c>
      <c r="BV10" s="234">
        <f>'FIM interventions data'!AL11*'Assumptions data'!$U10*'Assumptions data'!$Z11+BB10</f>
        <v>9833795.0923551898</v>
      </c>
      <c r="BW10" s="235">
        <f>'FIM interventions data'!AM11*'Assumptions data'!$V11*'Assumptions data'!$Y11+BC10</f>
        <v>101760634.49952298</v>
      </c>
      <c r="BX10" s="234">
        <f>'FIM interventions data'!AN11*'Assumptions data'!$S11*'Assumptions data'!$W11+BD10</f>
        <v>145723089.26467723</v>
      </c>
      <c r="BY10" s="234">
        <f>'FIM interventions data'!AO11*'Assumptions data'!$T11*'Assumptions data'!$X11+BE10</f>
        <v>129866319.97694363</v>
      </c>
      <c r="BZ10" s="234">
        <f>'FIM interventions data'!AP11*'Assumptions data'!$U10*'Assumptions data'!$Z11+BF10</f>
        <v>9356257.2734891959</v>
      </c>
      <c r="CA10" s="235">
        <f>'FIM interventions data'!AQ11*'Assumptions data'!$V11*'Assumptions data'!$Y11+BG10</f>
        <v>96819047.7581947</v>
      </c>
      <c r="CB10" s="234">
        <f>'FIM interventions data'!AR11*'Assumptions data'!$S11*'Assumptions data'!$W11+BH10</f>
        <v>7433185.4275241373</v>
      </c>
      <c r="CC10" s="234">
        <f>'FIM interventions data'!AS11*'Assumptions data'!$T11*'Assumptions data'!$X11+BI10</f>
        <v>6624347.8782246392</v>
      </c>
      <c r="CD10" s="234">
        <f>'FIM interventions data'!AT11*'Assumptions data'!$U10*'Assumptions data'!$Z11+BJ10</f>
        <v>477253.09401826217</v>
      </c>
      <c r="CE10" s="234">
        <f>'FIM interventions data'!AU11*'Assumptions data'!$V11*'Assumptions data'!$Y11+BK10</f>
        <v>4938640.3934645569</v>
      </c>
      <c r="CF10" s="247">
        <f>'FIM interventions data'!AV11*'Assumptions data'!$L11*'Local food sourcing'!$I10</f>
        <v>41353430.592800722</v>
      </c>
      <c r="CG10" s="234">
        <f>'FIM interventions data'!AW11*'Assumptions data'!$N11*'Local food sourcing'!$I10</f>
        <v>95475763.392662674</v>
      </c>
      <c r="CH10" s="234">
        <f>'FIM interventions data'!AX11*'Assumptions data'!$R10*'Local food sourcing'!$K10</f>
        <v>5910235.7796846014</v>
      </c>
      <c r="CI10" s="234">
        <f>'FIM interventions data'!AY11*'Assumptions data'!$P10*'Local food sourcing'!$L10</f>
        <v>71179906.36298506</v>
      </c>
      <c r="CJ10" s="247">
        <f>'FIM interventions data'!AV11*'Assumptions data'!$S11*'Assumptions data'!$W11+CF10</f>
        <v>526739322.17579925</v>
      </c>
      <c r="CK10" s="234">
        <f>'FIM interventions data'!AW11*'Assumptions data'!$T11*'Assumptions data'!$X11+CG10</f>
        <v>469422503.34725821</v>
      </c>
      <c r="CL10" s="234">
        <f>'FIM interventions data'!AX11*'Assumptions data'!$U10*'Assumptions data'!$Z11+CH10</f>
        <v>33819682.517084107</v>
      </c>
      <c r="CM10" s="235">
        <f>'FIM interventions data'!AY11*'Assumptions data'!$V11*'Assumptions data'!$Y11+CI10</f>
        <v>349967872.95134324</v>
      </c>
    </row>
    <row r="11" spans="1:91">
      <c r="A11" s="9">
        <v>10</v>
      </c>
      <c r="B11" s="1" t="s">
        <v>358</v>
      </c>
      <c r="C11" s="1" t="s">
        <v>359</v>
      </c>
      <c r="D11" s="78">
        <f>'FIM interventions data'!E12*'Assumptions data'!L12*'Local food sourcing'!I11</f>
        <v>73678926.484370828</v>
      </c>
      <c r="E11" s="118">
        <f>'FIM interventions data'!G12*'Assumptions data'!N12*'Local food sourcing'!I11</f>
        <v>170108057.57120991</v>
      </c>
      <c r="F11" s="118">
        <f>'FIM interventions data'!I12*'Assumptions data'!$R11*'Local food sourcing'!$K11</f>
        <v>10530198.372284248</v>
      </c>
      <c r="G11" s="178">
        <f>'FIM interventions data'!K12*'Assumptions data'!$P11*'Local food sourcing'!$L11</f>
        <v>126820411.58142252</v>
      </c>
      <c r="H11" s="247">
        <f>'FIM interventions data'!L12*'Assumptions data'!$L12*'Local food sourcing'!$I11</f>
        <v>17071092.189185034</v>
      </c>
      <c r="I11" s="234">
        <f>'FIM interventions data'!M12*'Assumptions data'!$N12*'Local food sourcing'!$I11</f>
        <v>39413309.49681136</v>
      </c>
      <c r="J11" s="234">
        <f>'FIM interventions data'!N12*'Assumptions data'!$R11*'Local food sourcing'!$K11</f>
        <v>2439801.9319920829</v>
      </c>
      <c r="K11" s="235">
        <f>'FIM interventions data'!O12*'Assumptions data'!$P11*'Local food sourcing'!$L11</f>
        <v>29383747.034317829</v>
      </c>
      <c r="L11" s="247">
        <f>'FIM interventions data'!P12*'Assumptions data'!$L12*'Local food sourcing'!$I11</f>
        <v>12275036.734852858</v>
      </c>
      <c r="M11" s="234">
        <f>'FIM interventions data'!Q12*'Assumptions data'!$N12*'Local food sourcing'!$I11</f>
        <v>28340296.950770598</v>
      </c>
      <c r="N11" s="234">
        <f>'FIM interventions data'!R12*'Assumptions data'!$R11*'Local food sourcing'!$K11</f>
        <v>1754349.2829322903</v>
      </c>
      <c r="O11" s="235">
        <f>'FIM interventions data'!S12*'Assumptions data'!$P11*'Local food sourcing'!$L11</f>
        <v>21128500.171909269</v>
      </c>
      <c r="P11" s="247">
        <f>'FIM interventions data'!T12*'Assumptions data'!$L12*'Local food sourcing'!$I11</f>
        <v>40941123.153929166</v>
      </c>
      <c r="Q11" s="234">
        <f>'FIM interventions data'!U12*'Assumptions data'!$N12*'Local food sourcing'!$I11</f>
        <v>94523838.318625674</v>
      </c>
      <c r="R11" s="234">
        <f>'FIM interventions data'!V12*'Assumptions data'!$R11*'Local food sourcing'!$K11</f>
        <v>5851308.7658306863</v>
      </c>
      <c r="S11" s="235">
        <f>'FIM interventions data'!W12*'Assumptions data'!$P11*'Local food sourcing'!$L11</f>
        <v>70470219.053590491</v>
      </c>
      <c r="T11" s="247">
        <f>'FIM interventions data'!X12*'Assumptions data'!$L12*'Local food sourcing'!$I11</f>
        <v>1672246.0396701971</v>
      </c>
      <c r="U11" s="234">
        <f>'FIM interventions data'!Y12*'Assumptions data'!$N12*'Local food sourcing'!$I11</f>
        <v>3860839.7158146338</v>
      </c>
      <c r="V11" s="234">
        <f>'FIM interventions data'!Z12*'Assumptions data'!$R11*'Local food sourcing'!$K11</f>
        <v>238997.54468775037</v>
      </c>
      <c r="W11" s="235">
        <f>'FIM interventions data'!AA12*'Assumptions data'!$P11*'Local food sourcing'!$L11</f>
        <v>2878366.1914694789</v>
      </c>
      <c r="X11" s="118">
        <f>'FIM interventions data'!E12*'Assumptions data'!S12+D11</f>
        <v>1226754125.9647746</v>
      </c>
      <c r="Y11" s="118">
        <f>'FIM interventions data'!G12*'Assumptions data'!T12+E11</f>
        <v>1502621175.2123542</v>
      </c>
      <c r="Z11" s="118">
        <f>'FIM interventions data'!I12*'Assumptions data'!U11+F11</f>
        <v>1005048933.5324633</v>
      </c>
      <c r="AA11" s="178">
        <f>'FIM interventions data'!K12*'Assumptions data'!$V12+G11</f>
        <v>1120246968.9692323</v>
      </c>
      <c r="AB11" s="234">
        <f>'FIM interventions data'!L12*'Assumptions data'!$S12+H11</f>
        <v>284233684.94993085</v>
      </c>
      <c r="AC11" s="234">
        <f>'FIM interventions data'!M12*'Assumptions data'!$T12+I11</f>
        <v>348150900.55516708</v>
      </c>
      <c r="AD11" s="234">
        <f>'FIM interventions data'!N12*'Assumptions data'!$U11+J11</f>
        <v>232865539.95346656</v>
      </c>
      <c r="AE11" s="235">
        <f>'FIM interventions data'!O12*'Assumptions data'!$V12+K11</f>
        <v>259556432.13647419</v>
      </c>
      <c r="AF11" s="234">
        <f>'FIM interventions data'!P12*'Assumptions data'!$S12+L11</f>
        <v>204379361.6353001</v>
      </c>
      <c r="AG11" s="234">
        <f>'FIM interventions data'!Q12*'Assumptions data'!$T12+M11</f>
        <v>250339289.73180696</v>
      </c>
      <c r="AH11" s="234">
        <f>'FIM interventions data'!R12*'Assumptions data'!$U11+N11</f>
        <v>167442892.67098194</v>
      </c>
      <c r="AI11" s="235">
        <f>'FIM interventions data'!S12*'Assumptions data'!$V12+O11</f>
        <v>186635084.85186526</v>
      </c>
      <c r="AJ11" s="234">
        <f>'FIM interventions data'!T12*'Assumptions data'!$S12+P11</f>
        <v>681669700.51292062</v>
      </c>
      <c r="AK11" s="234">
        <f>'FIM interventions data'!U12*'Assumptions data'!$T12+Q11</f>
        <v>834960571.81452692</v>
      </c>
      <c r="AL11" s="234">
        <f>'FIM interventions data'!V12*'Assumptions data'!$U11+R11</f>
        <v>558474914.42761767</v>
      </c>
      <c r="AM11" s="235">
        <f>'FIM interventions data'!W12*'Assumptions data'!$V12+S11</f>
        <v>622486934.97338283</v>
      </c>
      <c r="AN11" s="234">
        <f>'FIM interventions data'!X12*'Assumptions data'!$S12+T11</f>
        <v>27842896.56050878</v>
      </c>
      <c r="AO11" s="234">
        <f>'FIM interventions data'!Y12*'Assumptions data'!$T12+U11</f>
        <v>34104084.156362601</v>
      </c>
      <c r="AP11" s="234">
        <f>'FIM interventions data'!Z12*'Assumptions data'!$U11+V11</f>
        <v>22810987.87630862</v>
      </c>
      <c r="AQ11" s="235">
        <f>'FIM interventions data'!AA12*'Assumptions data'!$V12+W11</f>
        <v>25425568.024647065</v>
      </c>
      <c r="AR11" s="118">
        <f>'FIM interventions data'!AB12*'Assumptions data'!$L12*'Local food sourcing'!$I11</f>
        <v>22399537.358976915</v>
      </c>
      <c r="AS11" s="118">
        <f>'FIM interventions data'!AC12*'Assumptions data'!$N12*'Local food sourcing'!$I11</f>
        <v>51715490.065366</v>
      </c>
      <c r="AT11" s="118">
        <f>'FIM interventions data'!AD12*'Assumptions data'!$R11*'Local food sourcing'!$K11</f>
        <v>3201343.7639791509</v>
      </c>
      <c r="AU11" s="178">
        <f>'FIM interventions data'!AE12*'Assumptions data'!$P11*'Local food sourcing'!$L11</f>
        <v>38555373.736362599</v>
      </c>
      <c r="AV11" s="234">
        <f>'FIM interventions data'!AF12*'Assumptions data'!$L12*'Local food sourcing'!$I11</f>
        <v>15318499.106429704</v>
      </c>
      <c r="AW11" s="234">
        <f>'FIM interventions data'!AG12*'Assumptions data'!$N12*'Local food sourcing'!$I11</f>
        <v>35366966.543056607</v>
      </c>
      <c r="AX11" s="234">
        <f>'FIM interventions data'!AH12*'Assumptions data'!$R11*'Local food sourcing'!$K11</f>
        <v>2189321.1811464303</v>
      </c>
      <c r="AY11" s="235">
        <f>'FIM interventions data'!AI12*'Assumptions data'!$P11*'Local food sourcing'!$L11</f>
        <v>26367082.884943541</v>
      </c>
      <c r="AZ11" s="234">
        <f>'FIM interventions data'!AJ12*'Assumptions data'!$L12*'Local food sourcing'!$I11</f>
        <v>4569407.9549914338</v>
      </c>
      <c r="BA11" s="234">
        <f>'FIM interventions data'!AK12*'Assumptions data'!$N12*'Local food sourcing'!$I11</f>
        <v>10549734.48396959</v>
      </c>
      <c r="BB11" s="234">
        <f>'FIM interventions data'!AL12*'Assumptions data'!$R11*'Local food sourcing'!$K11</f>
        <v>653060.16938452923</v>
      </c>
      <c r="BC11" s="235">
        <f>'FIM interventions data'!AM12*'Assumptions data'!$P11*'Local food sourcing'!$L11</f>
        <v>7865128.1334611345</v>
      </c>
      <c r="BD11" s="234">
        <f>'FIM interventions data'!AN12*'Assumptions data'!$L12*'Local food sourcing'!$I11</f>
        <v>7326346.006188266</v>
      </c>
      <c r="BE11" s="234">
        <f>'FIM interventions data'!AO12*'Assumptions data'!$N12*'Local food sourcing'!$I11</f>
        <v>16914883.91150273</v>
      </c>
      <c r="BF11" s="234">
        <f>'FIM interventions data'!AP12*'Assumptions data'!$R11*'Local food sourcing'!$K11</f>
        <v>1047081.9876226061</v>
      </c>
      <c r="BG11" s="235">
        <f>'FIM interventions data'!AQ12*'Assumptions data'!$P11*'Local food sourcing'!$L11</f>
        <v>12610528.684749482</v>
      </c>
      <c r="BH11" s="234">
        <f>'FIM interventions data'!AR12*'Assumptions data'!$L12*'Local food sourcing'!$I11</f>
        <v>382330.20784191095</v>
      </c>
      <c r="BI11" s="234">
        <f>'FIM interventions data'!AS12*'Assumptions data'!$N12*'Local food sourcing'!$I11</f>
        <v>882714.39487626764</v>
      </c>
      <c r="BJ11" s="234">
        <f>'FIM interventions data'!AT12*'Assumptions data'!$R11*'Local food sourcing'!$K11</f>
        <v>54642.66547295593</v>
      </c>
      <c r="BK11" s="235">
        <f>'FIM interventions data'!AU12*'Assumptions data'!$P11*'Local food sourcing'!$L11</f>
        <v>658088.77289773384</v>
      </c>
      <c r="BL11" s="118">
        <f>'FIM interventions data'!AB12*'Assumptions data'!$S12*'Assumptions data'!$W12+AR11</f>
        <v>285314107.10996848</v>
      </c>
      <c r="BM11" s="118">
        <f>'FIM interventions data'!AC12*'Assumptions data'!$T12*'Assumptions data'!$X12+AS11</f>
        <v>254267826.15471619</v>
      </c>
      <c r="BN11" s="234">
        <f>'FIM interventions data'!AD12*'Assumptions data'!$U11*'Assumptions data'!$Z12+AT11</f>
        <v>18318800.427214034</v>
      </c>
      <c r="BO11" s="235">
        <f>'FIM interventions data'!AE12*'Assumptions data'!$V12*'Assumptions data'!$Y12+AU11</f>
        <v>189563920.87044948</v>
      </c>
      <c r="BP11" s="234">
        <f>'FIM interventions data'!AF12*'Assumptions data'!$S12*'Assumptions data'!$W12+AV11</f>
        <v>195119382.36814836</v>
      </c>
      <c r="BQ11" s="234">
        <f>'FIM interventions data'!AG12*'Assumptions data'!$T12*'Assumptions data'!$X12+AW11</f>
        <v>173887585.50336167</v>
      </c>
      <c r="BR11" s="234">
        <f>'FIM interventions data'!AH12*'Assumptions data'!$U11*'Assumptions data'!$Z12+AX11</f>
        <v>12527782.314337909</v>
      </c>
      <c r="BS11" s="235">
        <f>'FIM interventions data'!AI12*'Assumptions data'!$V12*'Assumptions data'!$Y12+AY11</f>
        <v>129638157.5176391</v>
      </c>
      <c r="BT11" s="234">
        <f>'FIM interventions data'!AJ12*'Assumptions data'!$S12*'Assumptions data'!$W12+AZ11</f>
        <v>58202833.826703385</v>
      </c>
      <c r="BU11" s="234">
        <f>'FIM interventions data'!AK12*'Assumptions data'!$T12*'Assumptions data'!$X12+BA11</f>
        <v>51869527.879517153</v>
      </c>
      <c r="BV11" s="234">
        <f>'FIM interventions data'!AL12*'Assumptions data'!$U11*'Assumptions data'!$Z12+BB11</f>
        <v>3736955.4137003622</v>
      </c>
      <c r="BW11" s="235">
        <f>'FIM interventions data'!AM12*'Assumptions data'!$V12*'Assumptions data'!$Y12+BC11</f>
        <v>38670213.322850585</v>
      </c>
      <c r="BX11" s="234">
        <f>'FIM interventions data'!AN12*'Assumptions data'!$S12*'Assumptions data'!$W12+BD11</f>
        <v>93319332.253823042</v>
      </c>
      <c r="BY11" s="234">
        <f>'FIM interventions data'!AO12*'Assumptions data'!$T12*'Assumptions data'!$X12+BE11</f>
        <v>83164845.898221776</v>
      </c>
      <c r="BZ11" s="234">
        <f>'FIM interventions data'!AP12*'Assumptions data'!$U11*'Assumptions data'!$Z12+BF11</f>
        <v>5991635.818062691</v>
      </c>
      <c r="CA11" s="235">
        <f>'FIM interventions data'!AQ12*'Assumptions data'!$V12*'Assumptions data'!$Y12+BG11</f>
        <v>62001766.03335163</v>
      </c>
      <c r="CB11" s="234">
        <f>'FIM interventions data'!AR12*'Assumptions data'!$S12*'Assumptions data'!$W12+BH11</f>
        <v>4869931.0223863414</v>
      </c>
      <c r="CC11" s="234">
        <f>'FIM interventions data'!AS12*'Assumptions data'!$T12*'Assumptions data'!$X12+BI11</f>
        <v>4340012.4414749825</v>
      </c>
      <c r="CD11" s="234">
        <f>'FIM interventions data'!AT12*'Assumptions data'!$U11*'Assumptions data'!$Z12+BJ11</f>
        <v>312677.47465080337</v>
      </c>
      <c r="CE11" s="234">
        <f>'FIM interventions data'!AU12*'Assumptions data'!$V12*'Assumptions data'!$Y12+BK11</f>
        <v>3235603.1334138587</v>
      </c>
      <c r="CF11" s="247">
        <f>'FIM interventions data'!AV12*'Assumptions data'!$L12*'Local food sourcing'!$I11</f>
        <v>21101644.545123804</v>
      </c>
      <c r="CG11" s="234">
        <f>'FIM interventions data'!AW12*'Assumptions data'!$N12*'Local food sourcing'!$I11</f>
        <v>48718947.688394502</v>
      </c>
      <c r="CH11" s="234">
        <f>'FIM interventions data'!AX12*'Assumptions data'!$R11*'Local food sourcing'!$K11</f>
        <v>3015848.8138222084</v>
      </c>
      <c r="CI11" s="234">
        <f>'FIM interventions data'!AY12*'Assumptions data'!$P11*'Local food sourcing'!$L11</f>
        <v>36321365.876919396</v>
      </c>
      <c r="CJ11" s="247">
        <f>'FIM interventions data'!AV12*'Assumptions data'!$S12*'Assumptions data'!$W12+CF11</f>
        <v>268782197.39351445</v>
      </c>
      <c r="CK11" s="234">
        <f>'FIM interventions data'!AW12*'Assumptions data'!$T12*'Assumptions data'!$X12+CG11</f>
        <v>239534826.13460636</v>
      </c>
      <c r="CL11" s="234">
        <f>'FIM interventions data'!AX12*'Assumptions data'!$U11*'Assumptions data'!$Z12+CH11</f>
        <v>17257357.101315971</v>
      </c>
      <c r="CM11" s="235">
        <f>'FIM interventions data'!AY12*'Assumptions data'!$V12*'Assumptions data'!$Y12+CI11</f>
        <v>178580048.89485371</v>
      </c>
    </row>
    <row r="12" spans="1:91">
      <c r="A12" s="9">
        <v>11</v>
      </c>
      <c r="B12" s="1" t="s">
        <v>363</v>
      </c>
      <c r="C12" s="1" t="s">
        <v>364</v>
      </c>
      <c r="D12" s="78">
        <f>'FIM interventions data'!E13*'Assumptions data'!L13*'Local food sourcing'!I12</f>
        <v>10823044.783553975</v>
      </c>
      <c r="E12" s="118">
        <f>'FIM interventions data'!G13*'Assumptions data'!N13*'Local food sourcing'!I12</f>
        <v>24987974.350130133</v>
      </c>
      <c r="F12" s="118">
        <f>'FIM interventions data'!I13*'Assumptions data'!$R12*'Local food sourcing'!$K12</f>
        <v>1546830.4710861286</v>
      </c>
      <c r="G12" s="178">
        <f>'FIM interventions data'!K13*'Assumptions data'!$P12*'Local food sourcing'!$L12</f>
        <v>18629248.002217334</v>
      </c>
      <c r="H12" s="247">
        <f>'FIM interventions data'!L13*'Assumptions data'!$L13*'Local food sourcing'!$I12</f>
        <v>2683868.0512028122</v>
      </c>
      <c r="I12" s="234">
        <f>'FIM interventions data'!M13*'Assumptions data'!$N13*'Local food sourcing'!$I12</f>
        <v>6196447.2441707496</v>
      </c>
      <c r="J12" s="234">
        <f>'FIM interventions data'!N13*'Assumptions data'!$R12*'Local food sourcing'!$K12</f>
        <v>383578.64769102691</v>
      </c>
      <c r="K12" s="235">
        <f>'FIM interventions data'!O13*'Assumptions data'!$P12*'Local food sourcing'!$L12</f>
        <v>4619628.2590514114</v>
      </c>
      <c r="L12" s="247">
        <f>'FIM interventions data'!P13*'Assumptions data'!$L13*'Local food sourcing'!$I12</f>
        <v>2649877.431384759</v>
      </c>
      <c r="M12" s="234">
        <f>'FIM interventions data'!Q13*'Assumptions data'!$N13*'Local food sourcing'!$I12</f>
        <v>6117970.5536326878</v>
      </c>
      <c r="N12" s="234">
        <f>'FIM interventions data'!R13*'Assumptions data'!$R12*'Local food sourcing'!$K12</f>
        <v>378720.70544675546</v>
      </c>
      <c r="O12" s="235">
        <f>'FIM interventions data'!S13*'Assumptions data'!$P12*'Local food sourcing'!$L12</f>
        <v>4561121.6466328986</v>
      </c>
      <c r="P12" s="247">
        <f>'FIM interventions data'!T13*'Assumptions data'!$L13*'Local food sourcing'!$I12</f>
        <v>5620915.4510691734</v>
      </c>
      <c r="Q12" s="234">
        <f>'FIM interventions data'!U13*'Assumptions data'!$N13*'Local food sourcing'!$I12</f>
        <v>12977428.618700143</v>
      </c>
      <c r="R12" s="234">
        <f>'FIM interventions data'!V13*'Assumptions data'!$R12*'Local food sourcing'!$K12</f>
        <v>803341.70919484762</v>
      </c>
      <c r="S12" s="235">
        <f>'FIM interventions data'!W13*'Assumptions data'!$P12*'Local food sourcing'!$L12</f>
        <v>9675043.3941268474</v>
      </c>
      <c r="T12" s="247">
        <f>'FIM interventions data'!X13*'Assumptions data'!$L13*'Local food sourcing'!$I12</f>
        <v>440328.34405725752</v>
      </c>
      <c r="U12" s="234">
        <f>'FIM interventions data'!Y13*'Assumptions data'!$N13*'Local food sourcing'!$I12</f>
        <v>1016619.0371546248</v>
      </c>
      <c r="V12" s="234">
        <f>'FIM interventions data'!Z13*'Assumptions data'!$R12*'Local food sourcing'!$K12</f>
        <v>62931.763980653574</v>
      </c>
      <c r="W12" s="235">
        <f>'FIM interventions data'!AA13*'Assumptions data'!$P12*'Local food sourcing'!$L12</f>
        <v>757918.50518008356</v>
      </c>
      <c r="X12" s="118">
        <f>'FIM interventions data'!E13*'Assumptions data'!S13+D12</f>
        <v>137858532.93051875</v>
      </c>
      <c r="Y12" s="118">
        <f>'FIM interventions data'!G13*'Assumptions data'!T13+E12</f>
        <v>171792323.6571447</v>
      </c>
      <c r="Z12" s="118">
        <f>'FIM interventions data'!I13*'Assumptions data'!U12+F12</f>
        <v>111113988.83968692</v>
      </c>
      <c r="AA12" s="178">
        <f>'FIM interventions data'!K13*'Assumptions data'!$V13+G12</f>
        <v>128076080.01524417</v>
      </c>
      <c r="AB12" s="234">
        <f>'FIM interventions data'!L13*'Assumptions data'!$S13+H12</f>
        <v>34185769.302195825</v>
      </c>
      <c r="AC12" s="234">
        <f>'FIM interventions data'!M13*'Assumptions data'!$T13+I12</f>
        <v>42600574.803673901</v>
      </c>
      <c r="AD12" s="234">
        <f>'FIM interventions data'!N13*'Assumptions data'!$U12+J12</f>
        <v>27553732.859138768</v>
      </c>
      <c r="AE12" s="235">
        <f>'FIM interventions data'!O13*'Assumptions data'!$V13+K12</f>
        <v>31759944.280978452</v>
      </c>
      <c r="AF12" s="234">
        <f>'FIM interventions data'!P13*'Assumptions data'!$S13+L12</f>
        <v>33752813.782263368</v>
      </c>
      <c r="AG12" s="234">
        <f>'FIM interventions data'!Q13*'Assumptions data'!$T13+M12</f>
        <v>42061047.556224734</v>
      </c>
      <c r="AH12" s="234">
        <f>'FIM interventions data'!R13*'Assumptions data'!$U12+N12</f>
        <v>27204770.674591929</v>
      </c>
      <c r="AI12" s="235">
        <f>'FIM interventions data'!S13*'Assumptions data'!$V13+O12</f>
        <v>31357711.32060118</v>
      </c>
      <c r="AJ12" s="234">
        <f>'FIM interventions data'!T13*'Assumptions data'!$S13+P12</f>
        <v>71596410.557993591</v>
      </c>
      <c r="AK12" s="234">
        <f>'FIM interventions data'!U13*'Assumptions data'!$T13+Q12</f>
        <v>89219821.753563493</v>
      </c>
      <c r="AL12" s="234">
        <f>'FIM interventions data'!V13*'Assumptions data'!$U12+R12</f>
        <v>57706712.777163215</v>
      </c>
      <c r="AM12" s="235">
        <f>'FIM interventions data'!W13*'Assumptions data'!$V13+S12</f>
        <v>66515923.334622078</v>
      </c>
      <c r="AN12" s="234">
        <f>'FIM interventions data'!X13*'Assumptions data'!$S13+T12</f>
        <v>5608682.282429317</v>
      </c>
      <c r="AO12" s="234">
        <f>'FIM interventions data'!Y13*'Assumptions data'!$T13+U12</f>
        <v>6989255.8804380465</v>
      </c>
      <c r="AP12" s="234">
        <f>'FIM interventions data'!Z13*'Assumptions data'!$U12+V12</f>
        <v>4520598.379276948</v>
      </c>
      <c r="AQ12" s="235">
        <f>'FIM interventions data'!AA13*'Assumptions data'!$V13+W12</f>
        <v>5210689.723113074</v>
      </c>
      <c r="AR12" s="118">
        <f>'FIM interventions data'!AB13*'Assumptions data'!$L13*'Local food sourcing'!$I12</f>
        <v>2384374.9687924045</v>
      </c>
      <c r="AS12" s="118">
        <f>'FIM interventions data'!AC13*'Assumptions data'!$N13*'Local food sourcing'!$I12</f>
        <v>5504985.1269036671</v>
      </c>
      <c r="AT12" s="118">
        <f>'FIM interventions data'!AD13*'Assumptions data'!$R12*'Local food sourcing'!$K12</f>
        <v>340775.07115442457</v>
      </c>
      <c r="AU12" s="178">
        <f>'FIM interventions data'!AE13*'Assumptions data'!$P12*'Local food sourcing'!$L12</f>
        <v>4104123.5172018725</v>
      </c>
      <c r="AV12" s="234">
        <f>'FIM interventions data'!AF13*'Assumptions data'!$L13*'Local food sourcing'!$I12</f>
        <v>1639747.054434207</v>
      </c>
      <c r="AW12" s="234">
        <f>'FIM interventions data'!AG13*'Assumptions data'!$N13*'Local food sourcing'!$I12</f>
        <v>3785806.8737888704</v>
      </c>
      <c r="AX12" s="234">
        <f>'FIM interventions data'!AH13*'Assumptions data'!$R12*'Local food sourcing'!$K12</f>
        <v>234352.78698344927</v>
      </c>
      <c r="AY12" s="235">
        <f>'FIM interventions data'!AI13*'Assumptions data'!$P12*'Local food sourcing'!$L12</f>
        <v>2822427.0663998276</v>
      </c>
      <c r="AZ12" s="234">
        <f>'FIM interventions data'!AJ13*'Assumptions data'!$L13*'Local food sourcing'!$I12</f>
        <v>723334.57565978728</v>
      </c>
      <c r="BA12" s="234">
        <f>'FIM interventions data'!AK13*'Assumptions data'!$N13*'Local food sourcing'!$I12</f>
        <v>1670016.7267730581</v>
      </c>
      <c r="BB12" s="234">
        <f>'FIM interventions data'!AL13*'Assumptions data'!$R12*'Local food sourcing'!$K12</f>
        <v>103379.03841263668</v>
      </c>
      <c r="BC12" s="235">
        <f>'FIM interventions data'!AM13*'Assumptions data'!$P12*'Local food sourcing'!$L12</f>
        <v>1245045.1299084388</v>
      </c>
      <c r="BD12" s="234">
        <f>'FIM interventions data'!AN13*'Assumptions data'!$L13*'Local food sourcing'!$I12</f>
        <v>877811.76828249067</v>
      </c>
      <c r="BE12" s="234">
        <f>'FIM interventions data'!AO13*'Assumptions data'!$N13*'Local food sourcing'!$I12</f>
        <v>2026669.7947527596</v>
      </c>
      <c r="BF12" s="234">
        <f>'FIM interventions data'!AP13*'Assumptions data'!$R12*'Local food sourcing'!$K12</f>
        <v>125456.93177955071</v>
      </c>
      <c r="BG12" s="235">
        <f>'FIM interventions data'!AQ13*'Assumptions data'!$P12*'Local food sourcing'!$L12</f>
        <v>1510940.1705006722</v>
      </c>
      <c r="BH12" s="234">
        <f>'FIM interventions data'!AR13*'Assumptions data'!$L13*'Local food sourcing'!$I12</f>
        <v>83826.982115762876</v>
      </c>
      <c r="BI12" s="234">
        <f>'FIM interventions data'!AS13*'Assumptions data'!$N13*'Local food sourcing'!$I12</f>
        <v>193537.63389581695</v>
      </c>
      <c r="BJ12" s="234">
        <f>'FIM interventions data'!AT13*'Assumptions data'!$R12*'Local food sourcing'!$K12</f>
        <v>11980.559336951701</v>
      </c>
      <c r="BK12" s="235">
        <f>'FIM interventions data'!AU13*'Assumptions data'!$P12*'Local food sourcing'!$L12</f>
        <v>144287.82938096538</v>
      </c>
      <c r="BL12" s="118">
        <f>'FIM interventions data'!AB13*'Assumptions data'!$S13*'Assumptions data'!$W13+AR12</f>
        <v>23374325.865943044</v>
      </c>
      <c r="BM12" s="118">
        <f>'FIM interventions data'!AC13*'Assumptions data'!$T13*'Assumptions data'!$X13+AS12</f>
        <v>21675878.93718319</v>
      </c>
      <c r="BN12" s="234">
        <f>'FIM interventions data'!AD13*'Assumptions data'!$U12*'Assumptions data'!$Z13+AT12</f>
        <v>1547686.7814930114</v>
      </c>
      <c r="BO12" s="235">
        <f>'FIM interventions data'!AE13*'Assumptions data'!$V13*'Assumptions data'!$Y13+AU12</f>
        <v>16159986.348982375</v>
      </c>
      <c r="BP12" s="234">
        <f>'FIM interventions data'!AF13*'Assumptions data'!$S13*'Assumptions data'!$W13+AV12</f>
        <v>16074645.343000334</v>
      </c>
      <c r="BQ12" s="234">
        <f>'FIM interventions data'!AG13*'Assumptions data'!$T13*'Assumptions data'!$X13+AW12</f>
        <v>14906614.565543678</v>
      </c>
      <c r="BR12" s="234">
        <f>'FIM interventions data'!AH13*'Assumptions data'!$U12*'Assumptions data'!$Z13+AX12</f>
        <v>1064352.2408831655</v>
      </c>
      <c r="BS12" s="235">
        <f>'FIM interventions data'!AI13*'Assumptions data'!$V13*'Assumptions data'!$Y13+AY12</f>
        <v>11113306.573949322</v>
      </c>
      <c r="BT12" s="234">
        <f>'FIM interventions data'!AJ13*'Assumptions data'!$S13*'Assumptions data'!$W13+AZ12</f>
        <v>7090939.2620148519</v>
      </c>
      <c r="BU12" s="234">
        <f>'FIM interventions data'!AK13*'Assumptions data'!$T13*'Assumptions data'!$X13+BA12</f>
        <v>6575690.8616689164</v>
      </c>
      <c r="BV12" s="234">
        <f>'FIM interventions data'!AL13*'Assumptions data'!$U12*'Assumptions data'!$Z13+BB12</f>
        <v>469513.13279072498</v>
      </c>
      <c r="BW12" s="235">
        <f>'FIM interventions data'!AM13*'Assumptions data'!$V13*'Assumptions data'!$Y13+BC12</f>
        <v>4902365.1990144784</v>
      </c>
      <c r="BX12" s="234">
        <f>'FIM interventions data'!AN13*'Assumptions data'!$S13*'Assumptions data'!$W13+BD12</f>
        <v>8605298.4909442905</v>
      </c>
      <c r="BY12" s="234">
        <f>'FIM interventions data'!AO13*'Assumptions data'!$T13*'Assumptions data'!$X13+BE12</f>
        <v>7980012.3168389918</v>
      </c>
      <c r="BZ12" s="234">
        <f>'FIM interventions data'!AP13*'Assumptions data'!$U12*'Assumptions data'!$Z13+BF12</f>
        <v>569783.56516545941</v>
      </c>
      <c r="CA12" s="235">
        <f>'FIM interventions data'!AQ13*'Assumptions data'!$V13*'Assumptions data'!$Y13+BG12</f>
        <v>5949326.9213463971</v>
      </c>
      <c r="CB12" s="234">
        <f>'FIM interventions data'!AR13*'Assumptions data'!$S13*'Assumptions data'!$W13+BH12</f>
        <v>821766.38405358803</v>
      </c>
      <c r="CC12" s="234">
        <f>'FIM interventions data'!AS13*'Assumptions data'!$T13*'Assumptions data'!$X13+BI12</f>
        <v>762054.43346477929</v>
      </c>
      <c r="CD12" s="234">
        <f>'FIM interventions data'!AT13*'Assumptions data'!$U12*'Assumptions data'!$Z13+BJ12</f>
        <v>54411.706988655642</v>
      </c>
      <c r="CE12" s="234">
        <f>'FIM interventions data'!AU13*'Assumptions data'!$V13*'Assumptions data'!$Y13+BK12</f>
        <v>568133.32818755123</v>
      </c>
      <c r="CF12" s="247">
        <f>'FIM interventions data'!AV13*'Assumptions data'!$L13*'Local food sourcing'!$I12</f>
        <v>2729307.917710274</v>
      </c>
      <c r="CG12" s="234">
        <f>'FIM interventions data'!AW13*'Assumptions data'!$N13*'Local food sourcing'!$I12</f>
        <v>6301357.668313791</v>
      </c>
      <c r="CH12" s="234">
        <f>'FIM interventions data'!AX13*'Assumptions data'!$R12*'Local food sourcing'!$K12</f>
        <v>390072.91723545606</v>
      </c>
      <c r="CI12" s="234">
        <f>'FIM interventions data'!AY13*'Assumptions data'!$P12*'Local food sourcing'!$L12</f>
        <v>4697841.9742567157</v>
      </c>
      <c r="CJ12" s="247">
        <f>'FIM interventions data'!AV13*'Assumptions data'!$S13*'Assumptions data'!$W13+CF12</f>
        <v>26755746.68080353</v>
      </c>
      <c r="CK12" s="234">
        <f>'FIM interventions data'!AW13*'Assumptions data'!$T13*'Assumptions data'!$X13+CG12</f>
        <v>24811595.818985552</v>
      </c>
      <c r="CL12" s="234">
        <f>'FIM interventions data'!AX13*'Assumptions data'!$U12*'Assumptions data'!$Z13+CH12</f>
        <v>1771581.1657776963</v>
      </c>
      <c r="CM12" s="235">
        <f>'FIM interventions data'!AY13*'Assumptions data'!$V13*'Assumptions data'!$Y13+CI12</f>
        <v>18497752.77363582</v>
      </c>
    </row>
    <row r="13" spans="1:91">
      <c r="A13" s="9">
        <v>12</v>
      </c>
      <c r="B13" s="1" t="s">
        <v>368</v>
      </c>
      <c r="C13" s="1" t="s">
        <v>278</v>
      </c>
      <c r="D13" s="78">
        <f>'FIM interventions data'!E14*'Assumptions data'!L14*'Local food sourcing'!I13</f>
        <v>22880915.68251529</v>
      </c>
      <c r="E13" s="118">
        <f>'FIM interventions data'!G14*'Assumptions data'!N14*'Local food sourcing'!I13</f>
        <v>52826884.265597299</v>
      </c>
      <c r="F13" s="118">
        <f>'FIM interventions data'!I14*'Assumptions data'!$R13*'Local food sourcing'!$K13</f>
        <v>3270142.3944810764</v>
      </c>
      <c r="G13" s="178">
        <f>'FIM interventions data'!K14*'Assumptions data'!$P13*'Local food sourcing'!$L13</f>
        <v>39383949.83037588</v>
      </c>
      <c r="H13" s="247">
        <f>'FIM interventions data'!L14*'Assumptions data'!$L14*'Local food sourcing'!$I13</f>
        <v>5118921.6262761559</v>
      </c>
      <c r="I13" s="234">
        <f>'FIM interventions data'!M14*'Assumptions data'!$N14*'Local food sourcing'!$I13</f>
        <v>11818437.866216844</v>
      </c>
      <c r="J13" s="234">
        <f>'FIM interventions data'!N14*'Assumptions data'!$R13*'Local food sourcing'!$K13</f>
        <v>731596.70951907884</v>
      </c>
      <c r="K13" s="235">
        <f>'FIM interventions data'!O14*'Assumptions data'!$P13*'Local food sourcing'!$L13</f>
        <v>8810982.712066181</v>
      </c>
      <c r="L13" s="247">
        <f>'FIM interventions data'!P14*'Assumptions data'!$L14*'Local food sourcing'!$I13</f>
        <v>4547023.1170843616</v>
      </c>
      <c r="M13" s="234">
        <f>'FIM interventions data'!Q14*'Assumptions data'!$N14*'Local food sourcing'!$I13</f>
        <v>10498052.931630112</v>
      </c>
      <c r="N13" s="234">
        <f>'FIM interventions data'!R14*'Assumptions data'!$R13*'Local food sourcing'!$K13</f>
        <v>649860.92646745313</v>
      </c>
      <c r="O13" s="235">
        <f>'FIM interventions data'!S14*'Assumptions data'!$P13*'Local food sourcing'!$L13</f>
        <v>7826598.0612679599</v>
      </c>
      <c r="P13" s="247">
        <f>'FIM interventions data'!T14*'Assumptions data'!$L14*'Local food sourcing'!$I13</f>
        <v>13383591.835046366</v>
      </c>
      <c r="Q13" s="234">
        <f>'FIM interventions data'!U14*'Assumptions data'!$N14*'Local food sourcing'!$I13</f>
        <v>30899701.163107723</v>
      </c>
      <c r="R13" s="234">
        <f>'FIM interventions data'!V14*'Assumptions data'!$R13*'Local food sourcing'!$K13</f>
        <v>1912784.0711226598</v>
      </c>
      <c r="S13" s="235">
        <f>'FIM interventions data'!W14*'Assumptions data'!$P13*'Local food sourcing'!$L13</f>
        <v>23036609.054264501</v>
      </c>
      <c r="T13" s="247">
        <f>'FIM interventions data'!X14*'Assumptions data'!$L14*'Local food sourcing'!$I13</f>
        <v>409901.3448200181</v>
      </c>
      <c r="U13" s="234">
        <f>'FIM interventions data'!Y14*'Assumptions data'!$N14*'Local food sourcing'!$I13</f>
        <v>946369.94443656784</v>
      </c>
      <c r="V13" s="234">
        <f>'FIM interventions data'!Z14*'Assumptions data'!$R13*'Local food sourcing'!$K13</f>
        <v>58583.134689625054</v>
      </c>
      <c r="W13" s="235">
        <f>'FIM interventions data'!AA14*'Assumptions data'!$P13*'Local food sourcing'!$L13</f>
        <v>705545.8017412941</v>
      </c>
      <c r="X13" s="118">
        <f>'FIM interventions data'!E14*'Assumptions data'!S14+D13</f>
        <v>237732713.94133386</v>
      </c>
      <c r="Y13" s="118">
        <f>'FIM interventions data'!G14*'Assumptions data'!T14+E13</f>
        <v>301113240.31390464</v>
      </c>
      <c r="Z13" s="118">
        <f>'FIM interventions data'!I14*'Assumptions data'!U13+F13</f>
        <v>188578211.41507539</v>
      </c>
      <c r="AA13" s="178">
        <f>'FIM interventions data'!K14*'Assumptions data'!$V14+G13</f>
        <v>224488514.03314254</v>
      </c>
      <c r="AB13" s="234">
        <f>'FIM interventions data'!L14*'Assumptions data'!$S14+H13</f>
        <v>53185595.697009265</v>
      </c>
      <c r="AC13" s="234">
        <f>'FIM interventions data'!M14*'Assumptions data'!$T14+I13</f>
        <v>67365095.83743602</v>
      </c>
      <c r="AD13" s="234">
        <f>'FIM interventions data'!N14*'Assumptions data'!$U13+J13</f>
        <v>42188743.582266882</v>
      </c>
      <c r="AE13" s="235">
        <f>'FIM interventions data'!O14*'Assumptions data'!$V14+K13</f>
        <v>50222601.458777234</v>
      </c>
      <c r="AF13" s="234">
        <f>'FIM interventions data'!P14*'Assumptions data'!$S14+L13</f>
        <v>47243570.186506517</v>
      </c>
      <c r="AG13" s="234">
        <f>'FIM interventions data'!Q14*'Assumptions data'!$T14+M13</f>
        <v>59838901.710291646</v>
      </c>
      <c r="AH13" s="234">
        <f>'FIM interventions data'!R14*'Assumptions data'!$U13+N13</f>
        <v>37475313.426289797</v>
      </c>
      <c r="AI13" s="235">
        <f>'FIM interventions data'!S14*'Assumptions data'!$V14+O13</f>
        <v>44611608.94922737</v>
      </c>
      <c r="AJ13" s="234">
        <f>'FIM interventions data'!T14*'Assumptions data'!$S14+P13</f>
        <v>139055519.16613173</v>
      </c>
      <c r="AK13" s="234">
        <f>'FIM interventions data'!U14*'Assumptions data'!$T14+Q13</f>
        <v>176128296.62971404</v>
      </c>
      <c r="AL13" s="234">
        <f>'FIM interventions data'!V14*'Assumptions data'!$U13+R13</f>
        <v>110303881.43474005</v>
      </c>
      <c r="AM13" s="235">
        <f>'FIM interventions data'!W14*'Assumptions data'!$V14+S13</f>
        <v>131308671.60930766</v>
      </c>
      <c r="AN13" s="234">
        <f>'FIM interventions data'!X14*'Assumptions data'!$S14+T13</f>
        <v>4258874.9726799885</v>
      </c>
      <c r="AO13" s="234">
        <f>'FIM interventions data'!Y14*'Assumptions data'!$T14+U13</f>
        <v>5394308.6832884373</v>
      </c>
      <c r="AP13" s="234">
        <f>'FIM interventions data'!Z14*'Assumptions data'!$U13+V13</f>
        <v>3378294.1004350446</v>
      </c>
      <c r="AQ13" s="235">
        <f>'FIM interventions data'!AA14*'Assumptions data'!$V14+W13</f>
        <v>4021611.0699253767</v>
      </c>
      <c r="AR13" s="118">
        <f>'FIM interventions data'!AB14*'Assumptions data'!$L14*'Local food sourcing'!$I13</f>
        <v>5771049.8063401971</v>
      </c>
      <c r="AS13" s="118">
        <f>'FIM interventions data'!AC14*'Assumptions data'!$N14*'Local food sourcing'!$I13</f>
        <v>13324055.052722322</v>
      </c>
      <c r="AT13" s="118">
        <f>'FIM interventions data'!AD14*'Assumptions data'!$R13*'Local food sourcing'!$K13</f>
        <v>824798.92388206546</v>
      </c>
      <c r="AU13" s="178">
        <f>'FIM interventions data'!AE14*'Assumptions data'!$P13*'Local food sourcing'!$L13</f>
        <v>9933463.2929566912</v>
      </c>
      <c r="AV13" s="234">
        <f>'FIM interventions data'!AF14*'Assumptions data'!$L14*'Local food sourcing'!$I13</f>
        <v>4039988.6744786827</v>
      </c>
      <c r="AW13" s="234">
        <f>'FIM interventions data'!AG14*'Assumptions data'!$N14*'Local food sourcing'!$I13</f>
        <v>9327424.5271615796</v>
      </c>
      <c r="AX13" s="234">
        <f>'FIM interventions data'!AH14*'Assumptions data'!$R13*'Local food sourcing'!$K13</f>
        <v>577395.52126979525</v>
      </c>
      <c r="AY13" s="235">
        <f>'FIM interventions data'!AI14*'Assumptions data'!$P13*'Local food sourcing'!$L13</f>
        <v>6953861.1775288973</v>
      </c>
      <c r="AZ13" s="234">
        <f>'FIM interventions data'!AJ14*'Assumptions data'!$L14*'Local food sourcing'!$I13</f>
        <v>2142349.9648333928</v>
      </c>
      <c r="BA13" s="234">
        <f>'FIM interventions data'!AK14*'Assumptions data'!$N14*'Local food sourcing'!$I13</f>
        <v>4946203.867843586</v>
      </c>
      <c r="BB13" s="234">
        <f>'FIM interventions data'!AL14*'Assumptions data'!$R13*'Local food sourcing'!$K13</f>
        <v>306184.83722529834</v>
      </c>
      <c r="BC13" s="235">
        <f>'FIM interventions data'!AM14*'Assumptions data'!$P13*'Local food sourcing'!$L13</f>
        <v>3687536.141684284</v>
      </c>
      <c r="BD13" s="234">
        <f>'FIM interventions data'!AN14*'Assumptions data'!$L14*'Local food sourcing'!$I13</f>
        <v>2375409.8241046858</v>
      </c>
      <c r="BE13" s="234">
        <f>'FIM interventions data'!AO14*'Assumptions data'!$N14*'Local food sourcing'!$I13</f>
        <v>5484286.6256979499</v>
      </c>
      <c r="BF13" s="234">
        <f>'FIM interventions data'!AP14*'Assumptions data'!$R13*'Local food sourcing'!$K13</f>
        <v>339493.77192135365</v>
      </c>
      <c r="BG13" s="235">
        <f>'FIM interventions data'!AQ14*'Assumptions data'!$P13*'Local food sourcing'!$L13</f>
        <v>4088692.1938447827</v>
      </c>
      <c r="BH13" s="234">
        <f>'FIM interventions data'!AR14*'Assumptions data'!$L14*'Local food sourcing'!$I13</f>
        <v>90542.910149293341</v>
      </c>
      <c r="BI13" s="234">
        <f>'FIM interventions data'!AS14*'Assumptions data'!$N14*'Local food sourcing'!$I13</f>
        <v>209043.2001015656</v>
      </c>
      <c r="BJ13" s="234">
        <f>'FIM interventions data'!AT14*'Assumptions data'!$R13*'Local food sourcing'!$K13</f>
        <v>12940.400336563202</v>
      </c>
      <c r="BK13" s="235">
        <f>'FIM interventions data'!AU14*'Assumptions data'!$P13*'Local food sourcing'!$L13</f>
        <v>155847.67149598608</v>
      </c>
      <c r="BL13" s="118">
        <f>'FIM interventions data'!AB14*'Assumptions data'!$S14*'Assumptions data'!$W14+AR13</f>
        <v>46413668.067491032</v>
      </c>
      <c r="BM13" s="118">
        <f>'FIM interventions data'!AC14*'Assumptions data'!$T14*'Assumptions data'!$X14+AS13</f>
        <v>44635584.426619783</v>
      </c>
      <c r="BN13" s="234">
        <f>'FIM interventions data'!AD14*'Assumptions data'!$U13*'Assumptions data'!$Z14+AT13</f>
        <v>3161729.2082145843</v>
      </c>
      <c r="BO13" s="235">
        <f>'FIM interventions data'!AE14*'Assumptions data'!$V14*'Assumptions data'!$Y14+AU13</f>
        <v>33277102.03140492</v>
      </c>
      <c r="BP13" s="234">
        <f>'FIM interventions data'!AF14*'Assumptions data'!$S14*'Assumptions data'!$W14+AV13</f>
        <v>32491608.914494809</v>
      </c>
      <c r="BQ13" s="234">
        <f>'FIM interventions data'!AG14*'Assumptions data'!$T14*'Assumptions data'!$X14+AW13</f>
        <v>31246872.165991295</v>
      </c>
      <c r="BR13" s="234">
        <f>'FIM interventions data'!AH14*'Assumptions data'!$U13*'Assumptions data'!$Z14+AX13</f>
        <v>2213349.4982008822</v>
      </c>
      <c r="BS13" s="235">
        <f>'FIM interventions data'!AI14*'Assumptions data'!$V14*'Assumptions data'!$Y14+AY13</f>
        <v>23295434.944721807</v>
      </c>
      <c r="BT13" s="234">
        <f>'FIM interventions data'!AJ14*'Assumptions data'!$S14*'Assumptions data'!$W14+AZ13</f>
        <v>17229849.592172563</v>
      </c>
      <c r="BU13" s="234">
        <f>'FIM interventions data'!AK14*'Assumptions data'!$T14*'Assumptions data'!$X14+BA13</f>
        <v>16569782.957276016</v>
      </c>
      <c r="BV13" s="234">
        <f>'FIM interventions data'!AL14*'Assumptions data'!$U13*'Assumptions data'!$Z14+BB13</f>
        <v>1173708.542696977</v>
      </c>
      <c r="BW13" s="235">
        <f>'FIM interventions data'!AM14*'Assumptions data'!$V14*'Assumptions data'!$Y14+BC13</f>
        <v>12353246.074642353</v>
      </c>
      <c r="BX13" s="234">
        <f>'FIM interventions data'!AN14*'Assumptions data'!$S14*'Assumptions data'!$W14+BD13</f>
        <v>19104233.510361936</v>
      </c>
      <c r="BY13" s="234">
        <f>'FIM interventions data'!AO14*'Assumptions data'!$T14*'Assumptions data'!$X14+BE13</f>
        <v>18372360.196088135</v>
      </c>
      <c r="BZ13" s="234">
        <f>'FIM interventions data'!AP14*'Assumptions data'!$U13*'Assumptions data'!$Z14+BF13</f>
        <v>1301392.7923651889</v>
      </c>
      <c r="CA13" s="235">
        <f>'FIM interventions data'!AQ14*'Assumptions data'!$V14*'Assumptions data'!$Y14+BG13</f>
        <v>13697118.849380024</v>
      </c>
      <c r="CB13" s="234">
        <f>'FIM interventions data'!AR14*'Assumptions data'!$S14*'Assumptions data'!$W14+BH13</f>
        <v>728191.35487569182</v>
      </c>
      <c r="CC13" s="234">
        <f>'FIM interventions data'!AS14*'Assumptions data'!$T14*'Assumptions data'!$X14+BI13</f>
        <v>700294.72034024482</v>
      </c>
      <c r="CD13" s="234">
        <f>'FIM interventions data'!AT14*'Assumptions data'!$U13*'Assumptions data'!$Z14+BJ13</f>
        <v>49604.867956825605</v>
      </c>
      <c r="CE13" s="234">
        <f>'FIM interventions data'!AU14*'Assumptions data'!$V14*'Assumptions data'!$Y14+BK13</f>
        <v>522089.69951155339</v>
      </c>
      <c r="CF13" s="247">
        <f>'FIM interventions data'!AV14*'Assumptions data'!$L14*'Local food sourcing'!$I13</f>
        <v>5558262.2357594408</v>
      </c>
      <c r="CG13" s="234">
        <f>'FIM interventions data'!AW14*'Assumptions data'!$N14*'Local food sourcing'!$I13</f>
        <v>12832776.446559848</v>
      </c>
      <c r="CH13" s="234">
        <f>'FIM interventions data'!AX14*'Assumptions data'!$R13*'Local food sourcing'!$K13</f>
        <v>794387.30639131507</v>
      </c>
      <c r="CI13" s="234">
        <f>'FIM interventions data'!AY14*'Assumptions data'!$P13*'Local food sourcing'!$L13</f>
        <v>9567201.0716119371</v>
      </c>
      <c r="CJ13" s="247">
        <f>'FIM interventions data'!AV14*'Assumptions data'!$S14*'Assumptions data'!$W14+CF13</f>
        <v>44702324.031095311</v>
      </c>
      <c r="CK13" s="234">
        <f>'FIM interventions data'!AW14*'Assumptions data'!$T14*'Assumptions data'!$X14+CG13</f>
        <v>42989801.095975496</v>
      </c>
      <c r="CL13" s="234">
        <f>'FIM interventions data'!AX14*'Assumptions data'!$U13*'Assumptions data'!$Z14+CH13</f>
        <v>3045151.3411667077</v>
      </c>
      <c r="CM13" s="235">
        <f>'FIM interventions data'!AY14*'Assumptions data'!$V14*'Assumptions data'!$Y14+CI13</f>
        <v>32050123.589899994</v>
      </c>
    </row>
    <row r="14" spans="1:91">
      <c r="A14" s="9">
        <v>13</v>
      </c>
      <c r="B14" s="1" t="s">
        <v>372</v>
      </c>
      <c r="C14" s="1" t="s">
        <v>373</v>
      </c>
      <c r="D14" s="78">
        <f>'FIM interventions data'!E15*'Assumptions data'!L15*'Local food sourcing'!I14</f>
        <v>83778559.362766013</v>
      </c>
      <c r="E14" s="118">
        <f>'FIM interventions data'!G15*'Assumptions data'!N15*'Local food sourcing'!I14</f>
        <v>193425836.65815908</v>
      </c>
      <c r="F14" s="118">
        <f>'FIM interventions data'!I15*'Assumptions data'!$R14*'Local food sourcing'!$K14</f>
        <v>11973638.753019234</v>
      </c>
      <c r="G14" s="178">
        <f>'FIM interventions data'!K15*'Assumptions data'!$P14*'Local food sourcing'!$L14</f>
        <v>144204481.34974408</v>
      </c>
      <c r="H14" s="247">
        <f>'FIM interventions data'!L15*'Assumptions data'!$L15*'Local food sourcing'!$I14</f>
        <v>20469480.286350112</v>
      </c>
      <c r="I14" s="234">
        <f>'FIM interventions data'!M15*'Assumptions data'!$N15*'Local food sourcing'!$I14</f>
        <v>47259422.70266135</v>
      </c>
      <c r="J14" s="234">
        <f>'FIM interventions data'!N15*'Assumptions data'!$R14*'Local food sourcing'!$K14</f>
        <v>2925499.844769747</v>
      </c>
      <c r="K14" s="235">
        <f>'FIM interventions data'!O15*'Assumptions data'!$P14*'Local food sourcing'!$L14</f>
        <v>35233248.347115941</v>
      </c>
      <c r="L14" s="247">
        <f>'FIM interventions data'!P15*'Assumptions data'!$L15*'Local food sourcing'!$I14</f>
        <v>19283983.394390523</v>
      </c>
      <c r="M14" s="234">
        <f>'FIM interventions data'!Q15*'Assumptions data'!$N15*'Local food sourcing'!$I14</f>
        <v>44522377.211224519</v>
      </c>
      <c r="N14" s="234">
        <f>'FIM interventions data'!R15*'Assumptions data'!$R14*'Local food sourcing'!$K14</f>
        <v>2756068.5292265033</v>
      </c>
      <c r="O14" s="235">
        <f>'FIM interventions data'!S15*'Assumptions data'!$P14*'Local food sourcing'!$L14</f>
        <v>33192702.821541481</v>
      </c>
      <c r="P14" s="247">
        <f>'FIM interventions data'!T15*'Assumptions data'!$L15*'Local food sourcing'!$I14</f>
        <v>54903350.633976854</v>
      </c>
      <c r="Q14" s="234">
        <f>'FIM interventions data'!U15*'Assumptions data'!$N15*'Local food sourcing'!$I14</f>
        <v>126759478.9465072</v>
      </c>
      <c r="R14" s="234">
        <f>'FIM interventions data'!V15*'Assumptions data'!$R14*'Local food sourcing'!$K14</f>
        <v>7846791.4920217153</v>
      </c>
      <c r="S14" s="235">
        <f>'FIM interventions data'!W15*'Assumptions data'!$P14*'Local food sourcing'!$L14</f>
        <v>94502809.10481368</v>
      </c>
      <c r="T14" s="247">
        <f>'FIM interventions data'!X15*'Assumptions data'!$L15*'Local food sourcing'!$I14</f>
        <v>638880.97649054206</v>
      </c>
      <c r="U14" s="234">
        <f>'FIM interventions data'!Y15*'Assumptions data'!$N15*'Local food sourcing'!$I14</f>
        <v>1475032.3751399587</v>
      </c>
      <c r="V14" s="234">
        <f>'FIM interventions data'!Z15*'Assumptions data'!$R14*'Local food sourcing'!$K14</f>
        <v>91308.922913679533</v>
      </c>
      <c r="W14" s="235">
        <f>'FIM interventions data'!AA15*'Assumptions data'!$P14*'Local food sourcing'!$L14</f>
        <v>1099678.7311668925</v>
      </c>
      <c r="X14" s="118">
        <f>'FIM interventions data'!E15*'Assumptions data'!S15+D14</f>
        <v>1394913013.390054</v>
      </c>
      <c r="Y14" s="118">
        <f>'FIM interventions data'!G15*'Assumptions data'!T15+E14</f>
        <v>1708594890.4804053</v>
      </c>
      <c r="Z14" s="118">
        <f>'FIM interventions data'!I15*'Assumptions data'!U14+F14</f>
        <v>1142817298.7603915</v>
      </c>
      <c r="AA14" s="178">
        <f>'FIM interventions data'!K15*'Assumptions data'!$V15+G14</f>
        <v>1273806251.9227397</v>
      </c>
      <c r="AB14" s="234">
        <f>'FIM interventions data'!L15*'Assumptions data'!$S15+H14</f>
        <v>340816846.76772946</v>
      </c>
      <c r="AC14" s="234">
        <f>'FIM interventions data'!M15*'Assumptions data'!$T15+I14</f>
        <v>417458233.87350863</v>
      </c>
      <c r="AD14" s="234">
        <f>'FIM interventions data'!N15*'Assumptions data'!$U14+J14</f>
        <v>279222707.40635699</v>
      </c>
      <c r="AE14" s="235">
        <f>'FIM interventions data'!O15*'Assumptions data'!$V15+K14</f>
        <v>311227027.06619084</v>
      </c>
      <c r="AF14" s="234">
        <f>'FIM interventions data'!P15*'Assumptions data'!$S15+L14</f>
        <v>321078323.51660228</v>
      </c>
      <c r="AG14" s="234">
        <f>'FIM interventions data'!Q15*'Assumptions data'!$T15+M14</f>
        <v>393280998.69914991</v>
      </c>
      <c r="AH14" s="234">
        <f>'FIM interventions data'!R15*'Assumptions data'!$U14+N14</f>
        <v>263051429.6228407</v>
      </c>
      <c r="AI14" s="235">
        <f>'FIM interventions data'!S15*'Assumptions data'!$V15+O14</f>
        <v>293202208.25694978</v>
      </c>
      <c r="AJ14" s="234">
        <f>'FIM interventions data'!T15*'Assumptions data'!$S15+P14</f>
        <v>914140788.05571461</v>
      </c>
      <c r="AK14" s="234">
        <f>'FIM interventions data'!U15*'Assumptions data'!$T15+Q14</f>
        <v>1119708730.6941471</v>
      </c>
      <c r="AL14" s="234">
        <f>'FIM interventions data'!V15*'Assumptions data'!$U14+R14</f>
        <v>748932654.62740588</v>
      </c>
      <c r="AM14" s="235">
        <f>'FIM interventions data'!W15*'Assumptions data'!$V15+S14</f>
        <v>834774813.75918758</v>
      </c>
      <c r="AN14" s="234">
        <f>'FIM interventions data'!X15*'Assumptions data'!$S15+T14</f>
        <v>10637368.258567527</v>
      </c>
      <c r="AO14" s="234">
        <f>'FIM interventions data'!Y15*'Assumptions data'!$T15+U14</f>
        <v>13029452.647069637</v>
      </c>
      <c r="AP14" s="234">
        <f>'FIM interventions data'!Z15*'Assumptions data'!$U14+V14</f>
        <v>8714929.4203167483</v>
      </c>
      <c r="AQ14" s="235">
        <f>'FIM interventions data'!AA15*'Assumptions data'!$V15+W14</f>
        <v>9713828.7919742167</v>
      </c>
      <c r="AR14" s="118">
        <f>'FIM interventions data'!AB15*'Assumptions data'!$L15*'Local food sourcing'!$I14</f>
        <v>18597702.892125923</v>
      </c>
      <c r="AS14" s="118">
        <f>'FIM interventions data'!AC15*'Assumptions data'!$N15*'Local food sourcing'!$I14</f>
        <v>42937909.999775805</v>
      </c>
      <c r="AT14" s="118">
        <f>'FIM interventions data'!AD15*'Assumptions data'!$R14*'Local food sourcing'!$K14</f>
        <v>2657985.262101132</v>
      </c>
      <c r="AU14" s="178">
        <f>'FIM interventions data'!AE15*'Assumptions data'!$P14*'Local food sourcing'!$L14</f>
        <v>32011437.296778928</v>
      </c>
      <c r="AV14" s="234">
        <f>'FIM interventions data'!AF15*'Assumptions data'!$L15*'Local food sourcing'!$I14</f>
        <v>12901147.11891388</v>
      </c>
      <c r="AW14" s="234">
        <f>'FIM interventions data'!AG15*'Assumptions data'!$N15*'Local food sourcing'!$I14</f>
        <v>29785844.902400669</v>
      </c>
      <c r="AX14" s="234">
        <f>'FIM interventions data'!AH15*'Assumptions data'!$R14*'Local food sourcing'!$K14</f>
        <v>1843833.0317014612</v>
      </c>
      <c r="AY14" s="235">
        <f>'FIM interventions data'!AI15*'Assumptions data'!$P14*'Local food sourcing'!$L14</f>
        <v>22206197.423902549</v>
      </c>
      <c r="AZ14" s="234">
        <f>'FIM interventions data'!AJ15*'Assumptions data'!$L15*'Local food sourcing'!$I14</f>
        <v>4273399.7855590796</v>
      </c>
      <c r="BA14" s="234">
        <f>'FIM interventions data'!AK15*'Assumptions data'!$N15*'Local food sourcing'!$I14</f>
        <v>9866318.246383274</v>
      </c>
      <c r="BB14" s="234">
        <f>'FIM interventions data'!AL15*'Assumptions data'!$R14*'Local food sourcing'!$K14</f>
        <v>610754.65690396097</v>
      </c>
      <c r="BC14" s="235">
        <f>'FIM interventions data'!AM15*'Assumptions data'!$P14*'Local food sourcing'!$L14</f>
        <v>7355621.8245325191</v>
      </c>
      <c r="BD14" s="234">
        <f>'FIM interventions data'!AN15*'Assumptions data'!$L15*'Local food sourcing'!$I14</f>
        <v>5853201.6134675592</v>
      </c>
      <c r="BE14" s="234">
        <f>'FIM interventions data'!AO15*'Assumptions data'!$N15*'Local food sourcing'!$I14</f>
        <v>13513725.084618954</v>
      </c>
      <c r="BF14" s="234">
        <f>'FIM interventions data'!AP15*'Assumptions data'!$R14*'Local food sourcing'!$K14</f>
        <v>836540.06706873013</v>
      </c>
      <c r="BG14" s="235">
        <f>'FIM interventions data'!AQ15*'Assumptions data'!$P14*'Local food sourcing'!$L14</f>
        <v>10074867.714670949</v>
      </c>
      <c r="BH14" s="234">
        <f>'FIM interventions data'!AR15*'Assumptions data'!$L15*'Local food sourcing'!$I14</f>
        <v>91571.691807944459</v>
      </c>
      <c r="BI14" s="234">
        <f>'FIM interventions data'!AS15*'Assumptions data'!$N15*'Local food sourcing'!$I14</f>
        <v>211418.42539281832</v>
      </c>
      <c r="BJ14" s="234">
        <f>'FIM interventions data'!AT15*'Assumptions data'!$R14*'Local food sourcing'!$K14</f>
        <v>13087.433897776418</v>
      </c>
      <c r="BK14" s="235">
        <f>'FIM interventions data'!AU15*'Assumptions data'!$P14*'Local food sourcing'!$L14</f>
        <v>157618.46973644677</v>
      </c>
      <c r="BL14" s="118">
        <f>'FIM interventions data'!AB15*'Assumptions data'!$S15*'Assumptions data'!$W15+AR14</f>
        <v>236888240.58845398</v>
      </c>
      <c r="BM14" s="118">
        <f>'FIM interventions data'!AC15*'Assumptions data'!$T15*'Assumptions data'!$X15+AS14</f>
        <v>211111390.83223107</v>
      </c>
      <c r="BN14" s="234">
        <f>'FIM interventions data'!AD15*'Assumptions data'!$U14*'Assumptions data'!$Z15+AT14</f>
        <v>15209582.333134258</v>
      </c>
      <c r="BO14" s="235">
        <f>'FIM interventions data'!AE15*'Assumptions data'!$V15*'Assumptions data'!$Y15+AU14</f>
        <v>157389566.7091631</v>
      </c>
      <c r="BP14" s="234">
        <f>'FIM interventions data'!AF15*'Assumptions data'!$S15*'Assumptions data'!$W15+AV14</f>
        <v>164328361.42716557</v>
      </c>
      <c r="BQ14" s="234">
        <f>'FIM interventions data'!AG15*'Assumptions data'!$T15*'Assumptions data'!$X15+AW14</f>
        <v>146447070.77013662</v>
      </c>
      <c r="BR14" s="234">
        <f>'FIM interventions data'!AH15*'Assumptions data'!$U14*'Assumptions data'!$Z15+AX14</f>
        <v>10550822.348069472</v>
      </c>
      <c r="BS14" s="235">
        <f>'FIM interventions data'!AI15*'Assumptions data'!$V15*'Assumptions data'!$Y15+AY14</f>
        <v>109180470.66752088</v>
      </c>
      <c r="BT14" s="234">
        <f>'FIM interventions data'!AJ15*'Assumptions data'!$S15*'Assumptions data'!$W15+AZ14</f>
        <v>54432429.768558778</v>
      </c>
      <c r="BU14" s="234">
        <f>'FIM interventions data'!AK15*'Assumptions data'!$T15*'Assumptions data'!$X15+BA14</f>
        <v>48509398.044717774</v>
      </c>
      <c r="BV14" s="234">
        <f>'FIM interventions data'!AL15*'Assumptions data'!$U14*'Assumptions data'!$Z15+BB14</f>
        <v>3494873.8700615549</v>
      </c>
      <c r="BW14" s="235">
        <f>'FIM interventions data'!AM15*'Assumptions data'!$V15*'Assumptions data'!$Y15+BC14</f>
        <v>36165140.63728489</v>
      </c>
      <c r="BX14" s="234">
        <f>'FIM interventions data'!AN15*'Assumptions data'!$S15*'Assumptions data'!$W15+BD14</f>
        <v>74555155.551543042</v>
      </c>
      <c r="BY14" s="234">
        <f>'FIM interventions data'!AO15*'Assumptions data'!$T15*'Assumptions data'!$X15+BE14</f>
        <v>66442481.6660432</v>
      </c>
      <c r="BZ14" s="234">
        <f>'FIM interventions data'!AP15*'Assumptions data'!$U14*'Assumptions data'!$Z15+BF14</f>
        <v>4786868.1615599571</v>
      </c>
      <c r="CA14" s="235">
        <f>'FIM interventions data'!AQ15*'Assumptions data'!$V15*'Assumptions data'!$Y15+BG14</f>
        <v>49534766.26379884</v>
      </c>
      <c r="CB14" s="234">
        <f>'FIM interventions data'!AR15*'Assumptions data'!$S15*'Assumptions data'!$W15+BH14</f>
        <v>1166394.4244036928</v>
      </c>
      <c r="CC14" s="234">
        <f>'FIM interventions data'!AS15*'Assumptions data'!$T15*'Assumptions data'!$X15+BI14</f>
        <v>1039473.9248480235</v>
      </c>
      <c r="CD14" s="234">
        <f>'FIM interventions data'!AT15*'Assumptions data'!$U14*'Assumptions data'!$Z15+BJ14</f>
        <v>74889.205081720604</v>
      </c>
      <c r="CE14" s="234">
        <f>'FIM interventions data'!AU15*'Assumptions data'!$V15*'Assumptions data'!$Y15+BK14</f>
        <v>774957.47620419669</v>
      </c>
      <c r="CF14" s="247">
        <f>'FIM interventions data'!AV15*'Assumptions data'!$L15*'Local food sourcing'!$I14</f>
        <v>23238230.718215991</v>
      </c>
      <c r="CG14" s="234">
        <f>'FIM interventions data'!AW15*'Assumptions data'!$N15*'Local food sourcing'!$I14</f>
        <v>53651844.258424111</v>
      </c>
      <c r="CH14" s="234">
        <f>'FIM interventions data'!AX15*'Assumptions data'!$R14*'Local food sourcing'!$K14</f>
        <v>3321209.889446904</v>
      </c>
      <c r="CI14" s="234">
        <f>'FIM interventions data'!AY15*'Assumptions data'!$P14*'Local food sourcing'!$L14</f>
        <v>39998981.048310444</v>
      </c>
      <c r="CJ14" s="247">
        <f>'FIM interventions data'!AV15*'Assumptions data'!$S15*'Assumptions data'!$W15+CF14</f>
        <v>295996963.77327621</v>
      </c>
      <c r="CK14" s="234">
        <f>'FIM interventions data'!AW15*'Assumptions data'!$T15*'Assumptions data'!$X15+CG14</f>
        <v>263788234.27058524</v>
      </c>
      <c r="CL14" s="234">
        <f>'FIM interventions data'!AX15*'Assumptions data'!$U14*'Assumptions data'!$Z15+CH14</f>
        <v>19004701.034057286</v>
      </c>
      <c r="CM14" s="235">
        <f>'FIM interventions data'!AY15*'Assumptions data'!$V15*'Assumptions data'!$Y15+CI14</f>
        <v>196661656.82085973</v>
      </c>
    </row>
    <row r="15" spans="1:91">
      <c r="A15" s="9">
        <v>14</v>
      </c>
      <c r="B15" s="1" t="s">
        <v>378</v>
      </c>
      <c r="C15" s="1" t="s">
        <v>379</v>
      </c>
      <c r="D15" s="78">
        <f>'FIM interventions data'!E16*'Assumptions data'!L16*'Local food sourcing'!I15</f>
        <v>70429815.733128339</v>
      </c>
      <c r="E15" s="118">
        <f>'FIM interventions data'!G16*'Assumptions data'!N16*'Local food sourcing'!I15</f>
        <v>162606592.15769249</v>
      </c>
      <c r="F15" s="118">
        <f>'FIM interventions data'!I16*'Assumptions data'!$R15*'Local food sourcing'!$K15</f>
        <v>10065835.190345615</v>
      </c>
      <c r="G15" s="178">
        <f>'FIM interventions data'!K16*'Assumptions data'!$P15*'Local food sourcing'!$L15</f>
        <v>121227855.0336068</v>
      </c>
      <c r="H15" s="247">
        <f>'FIM interventions data'!L16*'Assumptions data'!$L16*'Local food sourcing'!$I15</f>
        <v>12773660.711796761</v>
      </c>
      <c r="I15" s="234">
        <f>'FIM interventions data'!M16*'Assumptions data'!$N16*'Local food sourcing'!$I15</f>
        <v>29491507.483056951</v>
      </c>
      <c r="J15" s="234">
        <f>'FIM interventions data'!N16*'Assumptions data'!$R15*'Local food sourcing'!$K15</f>
        <v>1825612.6636699343</v>
      </c>
      <c r="K15" s="235">
        <f>'FIM interventions data'!O16*'Assumptions data'!$P15*'Local food sourcing'!$L15</f>
        <v>21986760.477775775</v>
      </c>
      <c r="L15" s="247">
        <f>'FIM interventions data'!P16*'Assumptions data'!$L16*'Local food sourcing'!$I15</f>
        <v>10719344.095599344</v>
      </c>
      <c r="M15" s="234">
        <f>'FIM interventions data'!Q16*'Assumptions data'!$N16*'Local food sourcing'!$I15</f>
        <v>24748552.802633751</v>
      </c>
      <c r="N15" s="234">
        <f>'FIM interventions data'!R16*'Assumptions data'!$R15*'Local food sourcing'!$K15</f>
        <v>1532009.5600385685</v>
      </c>
      <c r="O15" s="235">
        <f>'FIM interventions data'!S16*'Assumptions data'!$P15*'Local food sourcing'!$L15</f>
        <v>18450752.405780092</v>
      </c>
      <c r="P15" s="247">
        <f>'FIM interventions data'!T16*'Assumptions data'!$L16*'Local food sourcing'!$I15</f>
        <v>37568511.78350582</v>
      </c>
      <c r="Q15" s="234">
        <f>'FIM interventions data'!U16*'Assumptions data'!$N16*'Local food sourcing'!$I15</f>
        <v>86737237.77298677</v>
      </c>
      <c r="R15" s="234">
        <f>'FIM interventions data'!V16*'Assumptions data'!$R15*'Local food sourcing'!$K15</f>
        <v>5369294.865007733</v>
      </c>
      <c r="S15" s="235">
        <f>'FIM interventions data'!W16*'Assumptions data'!$P15*'Local food sourcing'!$L15</f>
        <v>64665086.127393454</v>
      </c>
      <c r="T15" s="247">
        <f>'FIM interventions data'!X16*'Assumptions data'!$L16*'Local food sourcing'!$I15</f>
        <v>546192.77155508217</v>
      </c>
      <c r="U15" s="234">
        <f>'FIM interventions data'!Y16*'Assumptions data'!$N16*'Local food sourcing'!$I15</f>
        <v>1261036.1722409127</v>
      </c>
      <c r="V15" s="234">
        <f>'FIM interventions data'!Z16*'Assumptions data'!$R15*'Local food sourcing'!$K15</f>
        <v>78061.91686577833</v>
      </c>
      <c r="W15" s="235">
        <f>'FIM interventions data'!AA16*'Assumptions data'!$P15*'Local food sourcing'!$L15</f>
        <v>940138.45473314507</v>
      </c>
      <c r="X15" s="118">
        <f>'FIM interventions data'!E16*'Assumptions data'!S16+D15</f>
        <v>897099777.90072215</v>
      </c>
      <c r="Y15" s="118">
        <f>'FIM interventions data'!G16*'Assumptions data'!T16+E15</f>
        <v>1117920321.084136</v>
      </c>
      <c r="Z15" s="118">
        <f>'FIM interventions data'!I16*'Assumptions data'!U15+F15</f>
        <v>723062494.50649333</v>
      </c>
      <c r="AA15" s="178">
        <f>'FIM interventions data'!K16*'Assumptions data'!$V16+G15</f>
        <v>833441503.3560468</v>
      </c>
      <c r="AB15" s="234">
        <f>'FIM interventions data'!L16*'Assumptions data'!$S16+H15</f>
        <v>162704503.31651124</v>
      </c>
      <c r="AC15" s="234">
        <f>'FIM interventions data'!M16*'Assumptions data'!$T16+I15</f>
        <v>202754113.94601655</v>
      </c>
      <c r="AD15" s="234">
        <f>'FIM interventions data'!N16*'Assumptions data'!$U15+J15</f>
        <v>131139843.00695695</v>
      </c>
      <c r="AE15" s="235">
        <f>'FIM interventions data'!O16*'Assumptions data'!$V16+K15</f>
        <v>151158978.28470847</v>
      </c>
      <c r="AF15" s="234">
        <f>'FIM interventions data'!P16*'Assumptions data'!$S16+L15</f>
        <v>136537645.41769665</v>
      </c>
      <c r="AG15" s="234">
        <f>'FIM interventions data'!Q16*'Assumptions data'!$T16+M15</f>
        <v>170146300.51810706</v>
      </c>
      <c r="AH15" s="234">
        <f>'FIM interventions data'!R16*'Assumptions data'!$U15+N15</f>
        <v>110049353.39610381</v>
      </c>
      <c r="AI15" s="235">
        <f>'FIM interventions data'!S16*'Assumptions data'!$V16+O15</f>
        <v>126848922.78973815</v>
      </c>
      <c r="AJ15" s="234">
        <f>'FIM interventions data'!T16*'Assumptions data'!$S16+P15</f>
        <v>478528918.84240544</v>
      </c>
      <c r="AK15" s="234">
        <f>'FIM interventions data'!U16*'Assumptions data'!$T16+Q15</f>
        <v>596318509.68928409</v>
      </c>
      <c r="AL15" s="234">
        <f>'FIM interventions data'!V16*'Assumptions data'!$U15+R15</f>
        <v>385694347.80305552</v>
      </c>
      <c r="AM15" s="235">
        <f>'FIM interventions data'!W16*'Assumptions data'!$V16+S15</f>
        <v>444572467.12583005</v>
      </c>
      <c r="AN15" s="234">
        <f>'FIM interventions data'!X16*'Assumptions data'!$S16+T15</f>
        <v>6957130.4276828589</v>
      </c>
      <c r="AO15" s="234">
        <f>'FIM interventions data'!Y16*'Assumptions data'!$T16+U15</f>
        <v>8669623.6841562744</v>
      </c>
      <c r="AP15" s="234">
        <f>'FIM interventions data'!Z16*'Assumptions data'!$U15+V15</f>
        <v>5607447.6948584095</v>
      </c>
      <c r="AQ15" s="235">
        <f>'FIM interventions data'!AA16*'Assumptions data'!$V16+W15</f>
        <v>6463451.8762903735</v>
      </c>
      <c r="AR15" s="118">
        <f>'FIM interventions data'!AB16*'Assumptions data'!$L16*'Local food sourcing'!$I15</f>
        <v>19517145.174727306</v>
      </c>
      <c r="AS15" s="118">
        <f>'FIM interventions data'!AC16*'Assumptions data'!$N16*'Local food sourcing'!$I15</f>
        <v>45060695.28187865</v>
      </c>
      <c r="AT15" s="118">
        <f>'FIM interventions data'!AD16*'Assumptions data'!$R15*'Local food sourcing'!$K15</f>
        <v>2789392.0304898131</v>
      </c>
      <c r="AU15" s="178">
        <f>'FIM interventions data'!AE16*'Assumptions data'!$P15*'Local food sourcing'!$L15</f>
        <v>33594034.306109741</v>
      </c>
      <c r="AV15" s="234">
        <f>'FIM interventions data'!AF16*'Assumptions data'!$L16*'Local food sourcing'!$I15</f>
        <v>14222886.518449835</v>
      </c>
      <c r="AW15" s="234">
        <f>'FIM interventions data'!AG16*'Assumptions data'!$N16*'Local food sourcing'!$I15</f>
        <v>32837443.678315148</v>
      </c>
      <c r="AX15" s="234">
        <f>'FIM interventions data'!AH16*'Assumptions data'!$R15*'Local food sourcing'!$K15</f>
        <v>2032736.1378905815</v>
      </c>
      <c r="AY15" s="235">
        <f>'FIM interventions data'!AI16*'Assumptions data'!$P15*'Local food sourcing'!$L15</f>
        <v>24481251.399995562</v>
      </c>
      <c r="AZ15" s="234">
        <f>'FIM interventions data'!AJ16*'Assumptions data'!$L16*'Local food sourcing'!$I15</f>
        <v>3689584.4299405189</v>
      </c>
      <c r="BA15" s="234">
        <f>'FIM interventions data'!AK16*'Assumptions data'!$N16*'Local food sourcing'!$I15</f>
        <v>8518419.9956455287</v>
      </c>
      <c r="BB15" s="234">
        <f>'FIM interventions data'!AL16*'Assumptions data'!$R15*'Local food sourcing'!$K15</f>
        <v>527315.7171583717</v>
      </c>
      <c r="BC15" s="235">
        <f>'FIM interventions data'!AM16*'Assumptions data'!$P15*'Local food sourcing'!$L15</f>
        <v>6350725.2113495609</v>
      </c>
      <c r="BD15" s="234">
        <f>'FIM interventions data'!AN16*'Assumptions data'!$L16*'Local food sourcing'!$I15</f>
        <v>4391797.9649552992</v>
      </c>
      <c r="BE15" s="234">
        <f>'FIM interventions data'!AO16*'Assumptions data'!$N16*'Local food sourcing'!$I15</f>
        <v>10139672.993501244</v>
      </c>
      <c r="BF15" s="234">
        <f>'FIM interventions data'!AP16*'Assumptions data'!$R15*'Local food sourcing'!$K15</f>
        <v>627676.13466495916</v>
      </c>
      <c r="BG15" s="235">
        <f>'FIM interventions data'!AQ16*'Assumptions data'!$P15*'Local food sourcing'!$L15</f>
        <v>7559415.5896969028</v>
      </c>
      <c r="BH15" s="234">
        <f>'FIM interventions data'!AR16*'Assumptions data'!$L16*'Local food sourcing'!$I15</f>
        <v>149725.16055930857</v>
      </c>
      <c r="BI15" s="234">
        <f>'FIM interventions data'!AS16*'Assumptions data'!$N16*'Local food sourcing'!$I15</f>
        <v>345681.69553453272</v>
      </c>
      <c r="BJ15" s="234">
        <f>'FIM interventions data'!AT16*'Assumptions data'!$R15*'Local food sourcing'!$K15</f>
        <v>21398.73254459093</v>
      </c>
      <c r="BK15" s="235">
        <f>'FIM interventions data'!AU16*'Assumptions data'!$P15*'Local food sourcing'!$L15</f>
        <v>257715.56932570075</v>
      </c>
      <c r="BL15" s="118">
        <f>'FIM interventions data'!AB16*'Assumptions data'!$S16*'Assumptions data'!$W16+AR15</f>
        <v>191329013.79099864</v>
      </c>
      <c r="BM15" s="118">
        <f>'FIM interventions data'!AC16*'Assumptions data'!$T16*'Assumptions data'!$X16+AS15</f>
        <v>177426487.6723972</v>
      </c>
      <c r="BN15" s="234">
        <f>'FIM interventions data'!AD16*'Assumptions data'!$U15*'Assumptions data'!$Z16+AT15</f>
        <v>12668488.805141235</v>
      </c>
      <c r="BO15" s="235">
        <f>'FIM interventions data'!AE16*'Assumptions data'!$V16*'Assumptions data'!$Y16+AU15</f>
        <v>132276510.08030711</v>
      </c>
      <c r="BP15" s="234">
        <f>'FIM interventions data'!AF16*'Assumptions data'!$S16*'Assumptions data'!$W16+AV15</f>
        <v>139428734.40117857</v>
      </c>
      <c r="BQ15" s="234">
        <f>'FIM interventions data'!AG16*'Assumptions data'!$T16*'Assumptions data'!$X16+AW15</f>
        <v>129297434.48336589</v>
      </c>
      <c r="BR15" s="234">
        <f>'FIM interventions data'!AH16*'Assumptions data'!$U15*'Assumptions data'!$Z16+AX15</f>
        <v>9232009.9595863912</v>
      </c>
      <c r="BS15" s="235">
        <f>'FIM interventions data'!AI16*'Assumptions data'!$V16*'Assumptions data'!$Y16+AY15</f>
        <v>96394927.387482524</v>
      </c>
      <c r="BT15" s="234">
        <f>'FIM interventions data'!AJ16*'Assumptions data'!$S16*'Assumptions data'!$W16+AZ15</f>
        <v>36169457.364760652</v>
      </c>
      <c r="BU15" s="234">
        <f>'FIM interventions data'!AK16*'Assumptions data'!$T16*'Assumptions data'!$X16+BA15</f>
        <v>33541278.732854277</v>
      </c>
      <c r="BV15" s="234">
        <f>'FIM interventions data'!AL16*'Assumptions data'!$U15*'Assumptions data'!$Z16+BB15</f>
        <v>2394892.215427605</v>
      </c>
      <c r="BW15" s="235">
        <f>'FIM interventions data'!AM16*'Assumptions data'!$V16*'Assumptions data'!$Y16+BC15</f>
        <v>25005980.519688897</v>
      </c>
      <c r="BX15" s="234">
        <f>'FIM interventions data'!AN16*'Assumptions data'!$S16*'Assumptions data'!$W16+BD15</f>
        <v>43053344.425202422</v>
      </c>
      <c r="BY15" s="234">
        <f>'FIM interventions data'!AO16*'Assumptions data'!$T16*'Assumptions data'!$X16+BE15</f>
        <v>39924962.411911145</v>
      </c>
      <c r="BZ15" s="234">
        <f>'FIM interventions data'!AP16*'Assumptions data'!$U15*'Assumptions data'!$Z16+BF15</f>
        <v>2850695.7782700229</v>
      </c>
      <c r="CA15" s="235">
        <f>'FIM interventions data'!AQ16*'Assumptions data'!$V16*'Assumptions data'!$Y16+BG15</f>
        <v>29765198.884431556</v>
      </c>
      <c r="CB15" s="234">
        <f>'FIM interventions data'!AR16*'Assumptions data'!$S16*'Assumptions data'!$W16+BH15</f>
        <v>1467774.464607972</v>
      </c>
      <c r="CC15" s="234">
        <f>'FIM interventions data'!AS16*'Assumptions data'!$T16*'Assumptions data'!$X16+BI15</f>
        <v>1361121.6761672227</v>
      </c>
      <c r="CD15" s="234">
        <f>'FIM interventions data'!AT16*'Assumptions data'!$U15*'Assumptions data'!$Z16+BJ15</f>
        <v>97185.9103066838</v>
      </c>
      <c r="CE15" s="234">
        <f>'FIM interventions data'!AU16*'Assumptions data'!$V16*'Assumptions data'!$Y16+BK15</f>
        <v>1014755.0542199467</v>
      </c>
      <c r="CF15" s="247">
        <f>'FIM interventions data'!AV16*'Assumptions data'!$L16*'Local food sourcing'!$I15</f>
        <v>16607463.237576831</v>
      </c>
      <c r="CG15" s="234">
        <f>'FIM interventions data'!AW16*'Assumptions data'!$N16*'Local food sourcing'!$I15</f>
        <v>38342894.601331331</v>
      </c>
      <c r="CH15" s="234">
        <f>'FIM interventions data'!AX16*'Assumptions data'!$R15*'Local food sourcing'!$K15</f>
        <v>2373540.0432198001</v>
      </c>
      <c r="CI15" s="234">
        <f>'FIM interventions data'!AY16*'Assumptions data'!$P15*'Local food sourcing'!$L15</f>
        <v>28585722.181492534</v>
      </c>
      <c r="CJ15" s="247">
        <f>'FIM interventions data'!AV16*'Assumptions data'!$S16*'Assumptions data'!$W16+CF15</f>
        <v>162805038.05087039</v>
      </c>
      <c r="CK15" s="234">
        <f>'FIM interventions data'!AW16*'Assumptions data'!$T16*'Assumptions data'!$X16+CG15</f>
        <v>150975147.49274212</v>
      </c>
      <c r="CL15" s="234">
        <f>'FIM interventions data'!AX16*'Assumptions data'!$U15*'Assumptions data'!$Z16+CH15</f>
        <v>10779827.696289927</v>
      </c>
      <c r="CM15" s="235">
        <f>'FIM interventions data'!AY16*'Assumptions data'!$V16*'Assumptions data'!$Y16+CI15</f>
        <v>112556281.08962686</v>
      </c>
    </row>
    <row r="16" spans="1:91">
      <c r="A16" s="9">
        <v>15</v>
      </c>
      <c r="B16" s="1" t="s">
        <v>383</v>
      </c>
      <c r="C16" s="1" t="s">
        <v>384</v>
      </c>
      <c r="D16" s="78">
        <f>'FIM interventions data'!E17*'Assumptions data'!L17*'Local food sourcing'!I16</f>
        <v>29832303.158808067</v>
      </c>
      <c r="E16" s="118">
        <f>'FIM interventions data'!G17*'Assumptions data'!N17*'Local food sourcing'!I16</f>
        <v>68876073.327381954</v>
      </c>
      <c r="F16" s="118">
        <f>'FIM interventions data'!I17*'Assumptions data'!$R16*'Local food sourcing'!$K16</f>
        <v>4263635.2774630608</v>
      </c>
      <c r="G16" s="178">
        <f>'FIM interventions data'!K17*'Assumptions data'!$P16*'Local food sourcing'!$L16</f>
        <v>51349078.298858672</v>
      </c>
      <c r="H16" s="247">
        <f>'FIM interventions data'!L17*'Assumptions data'!$L17*'Local food sourcing'!$I16</f>
        <v>8031005.6740195788</v>
      </c>
      <c r="I16" s="234">
        <f>'FIM interventions data'!M17*'Assumptions data'!$N17*'Local food sourcing'!$I16</f>
        <v>18541784.479455307</v>
      </c>
      <c r="J16" s="234">
        <f>'FIM interventions data'!N17*'Assumptions data'!$R16*'Local food sourcing'!$K16</f>
        <v>1147792.006637143</v>
      </c>
      <c r="K16" s="235">
        <f>'FIM interventions data'!O17*'Assumptions data'!$P16*'Local food sourcing'!$L16</f>
        <v>13823429.487778313</v>
      </c>
      <c r="L16" s="247">
        <f>'FIM interventions data'!P17*'Assumptions data'!$L17*'Local food sourcing'!$I16</f>
        <v>5716404.9624342509</v>
      </c>
      <c r="M16" s="234">
        <f>'FIM interventions data'!Q17*'Assumptions data'!$N17*'Local food sourcing'!$I16</f>
        <v>13197892.407626042</v>
      </c>
      <c r="N16" s="234">
        <f>'FIM interventions data'!R17*'Assumptions data'!$R16*'Local food sourcing'!$K16</f>
        <v>816989.07819336373</v>
      </c>
      <c r="O16" s="235">
        <f>'FIM interventions data'!S17*'Assumptions data'!$P16*'Local food sourcing'!$L16</f>
        <v>9839405.4405200817</v>
      </c>
      <c r="P16" s="247">
        <f>'FIM interventions data'!T17*'Assumptions data'!$L17*'Local food sourcing'!$I16</f>
        <v>19824579.984124202</v>
      </c>
      <c r="Q16" s="234">
        <f>'FIM interventions data'!U17*'Assumptions data'!$N17*'Local food sourcing'!$I16</f>
        <v>45770493.059230573</v>
      </c>
      <c r="R16" s="234">
        <f>'FIM interventions data'!V17*'Assumptions data'!$R16*'Local food sourcing'!$K16</f>
        <v>2833330.6393155199</v>
      </c>
      <c r="S16" s="235">
        <f>'FIM interventions data'!W17*'Assumptions data'!$P16*'Local food sourcing'!$L16</f>
        <v>34123208.80582834</v>
      </c>
      <c r="T16" s="247">
        <f>'FIM interventions data'!X17*'Assumptions data'!$L17*'Local food sourcing'!$I16</f>
        <v>283868.35066677298</v>
      </c>
      <c r="U16" s="234">
        <f>'FIM interventions data'!Y17*'Assumptions data'!$N17*'Local food sourcing'!$I16</f>
        <v>655388.12849167909</v>
      </c>
      <c r="V16" s="234">
        <f>'FIM interventions data'!Z17*'Assumptions data'!$R16*'Local food sourcing'!$K16</f>
        <v>40570.488561181061</v>
      </c>
      <c r="W16" s="235">
        <f>'FIM interventions data'!AA17*'Assumptions data'!$P16*'Local food sourcing'!$L16</f>
        <v>488610.55371288955</v>
      </c>
      <c r="X16" s="118">
        <f>'FIM interventions data'!E17*'Assumptions data'!S17+D16</f>
        <v>379988961.48531771</v>
      </c>
      <c r="Y16" s="118">
        <f>'FIM interventions data'!G17*'Assumptions data'!T17+E16</f>
        <v>473523004.1257509</v>
      </c>
      <c r="Z16" s="118">
        <f>'FIM interventions data'!I17*'Assumptions data'!U16+F16</f>
        <v>306271134.09776324</v>
      </c>
      <c r="AA16" s="178">
        <f>'FIM interventions data'!K17*'Assumptions data'!$V17+G16</f>
        <v>353024913.30465341</v>
      </c>
      <c r="AB16" s="234">
        <f>'FIM interventions data'!L17*'Assumptions data'!$S17+H16</f>
        <v>102294934.77282438</v>
      </c>
      <c r="AC16" s="234">
        <f>'FIM interventions data'!M17*'Assumptions data'!$T17+I16</f>
        <v>127474768.29625525</v>
      </c>
      <c r="AD16" s="234">
        <f>'FIM interventions data'!N17*'Assumptions data'!$U16+J16</f>
        <v>82449725.810101449</v>
      </c>
      <c r="AE16" s="235">
        <f>'FIM interventions data'!O17*'Assumptions data'!$V17+K16</f>
        <v>95036077.728475899</v>
      </c>
      <c r="AF16" s="234">
        <f>'FIM interventions data'!P17*'Assumptions data'!$S17+L16</f>
        <v>72812708.209006265</v>
      </c>
      <c r="AG16" s="234">
        <f>'FIM interventions data'!Q17*'Assumptions data'!$T17+M16</f>
        <v>90735510.30242905</v>
      </c>
      <c r="AH16" s="234">
        <f>'FIM interventions data'!R17*'Assumptions data'!$U16+N16</f>
        <v>58687048.783556625</v>
      </c>
      <c r="AI16" s="235">
        <f>'FIM interventions data'!S17*'Assumptions data'!$V17+O16</f>
        <v>67645912.403575569</v>
      </c>
      <c r="AJ16" s="234">
        <f>'FIM interventions data'!T17*'Assumptions data'!$S17+P16</f>
        <v>252515587.54778203</v>
      </c>
      <c r="AK16" s="234">
        <f>'FIM interventions data'!U17*'Assumptions data'!$T17+Q16</f>
        <v>314672139.78221023</v>
      </c>
      <c r="AL16" s="234">
        <f>'FIM interventions data'!V17*'Assumptions data'!$U16+R16</f>
        <v>203527584.25749817</v>
      </c>
      <c r="AM16" s="235">
        <f>'FIM interventions data'!W17*'Assumptions data'!$V17+S16</f>
        <v>234597060.54006985</v>
      </c>
      <c r="AN16" s="234">
        <f>'FIM interventions data'!X17*'Assumptions data'!$S17+T16</f>
        <v>3615773.1166180214</v>
      </c>
      <c r="AO16" s="234">
        <f>'FIM interventions data'!Y17*'Assumptions data'!$T17+U16</f>
        <v>4505793.3833802938</v>
      </c>
      <c r="AP16" s="234">
        <f>'FIM interventions data'!Z17*'Assumptions data'!$U16+V16</f>
        <v>2914313.4283115063</v>
      </c>
      <c r="AQ16" s="235">
        <f>'FIM interventions data'!AA17*'Assumptions data'!$V17+W16</f>
        <v>3359197.5567761161</v>
      </c>
      <c r="AR16" s="118">
        <f>'FIM interventions data'!AB17*'Assumptions data'!$L17*'Local food sourcing'!$I16</f>
        <v>7764924.3814052735</v>
      </c>
      <c r="AS16" s="118">
        <f>'FIM interventions data'!AC17*'Assumptions data'!$N17*'Local food sourcing'!$I16</f>
        <v>17927462.664488886</v>
      </c>
      <c r="AT16" s="118">
        <f>'FIM interventions data'!AD17*'Assumptions data'!$R16*'Local food sourcing'!$K16</f>
        <v>1109763.6459093736</v>
      </c>
      <c r="AU16" s="178">
        <f>'FIM interventions data'!AE17*'Assumptions data'!$P16*'Local food sourcing'!$L16</f>
        <v>13365435.042777527</v>
      </c>
      <c r="AV16" s="234">
        <f>'FIM interventions data'!AF17*'Assumptions data'!$L17*'Local food sourcing'!$I16</f>
        <v>5884278.9352725968</v>
      </c>
      <c r="AW16" s="234">
        <f>'FIM interventions data'!AG17*'Assumptions data'!$N17*'Local food sourcing'!$I16</f>
        <v>13585475.625771208</v>
      </c>
      <c r="AX16" s="234">
        <f>'FIM interventions data'!AH17*'Assumptions data'!$R16*'Local food sourcing'!$K16</f>
        <v>840981.64051586506</v>
      </c>
      <c r="AY16" s="235">
        <f>'FIM interventions data'!AI17*'Assumptions data'!$P16*'Local food sourcing'!$L16</f>
        <v>10128359.790766811</v>
      </c>
      <c r="AZ16" s="234">
        <f>'FIM interventions data'!AJ17*'Assumptions data'!$L17*'Local food sourcing'!$I16</f>
        <v>1723583.616635808</v>
      </c>
      <c r="BA16" s="234">
        <f>'FIM interventions data'!AK17*'Assumptions data'!$N17*'Local food sourcing'!$I16</f>
        <v>3979366.6259465963</v>
      </c>
      <c r="BB16" s="234">
        <f>'FIM interventions data'!AL17*'Assumptions data'!$R16*'Local food sourcing'!$K16</f>
        <v>246334.71550707502</v>
      </c>
      <c r="BC16" s="235">
        <f>'FIM interventions data'!AM17*'Assumptions data'!$P16*'Local food sourcing'!$L16</f>
        <v>2966731.3855762742</v>
      </c>
      <c r="BD16" s="234">
        <f>'FIM interventions data'!AN17*'Assumptions data'!$L17*'Local food sourcing'!$I16</f>
        <v>2050955.0895021756</v>
      </c>
      <c r="BE16" s="234">
        <f>'FIM interventions data'!AO17*'Assumptions data'!$N17*'Local food sourcing'!$I16</f>
        <v>4735193.6718976106</v>
      </c>
      <c r="BF16" s="234">
        <f>'FIM interventions data'!AP17*'Assumptions data'!$R16*'Local food sourcing'!$K16</f>
        <v>293122.67395325267</v>
      </c>
      <c r="BG16" s="235">
        <f>'FIM interventions data'!AQ17*'Assumptions data'!$P16*'Local food sourcing'!$L16</f>
        <v>3530222.0186507958</v>
      </c>
      <c r="BH16" s="234">
        <f>'FIM interventions data'!AR17*'Assumptions data'!$L17*'Local food sourcing'!$I16</f>
        <v>46266.67570519216</v>
      </c>
      <c r="BI16" s="234">
        <f>'FIM interventions data'!AS17*'Assumptions data'!$N17*'Local food sourcing'!$I16</f>
        <v>106819.34048206883</v>
      </c>
      <c r="BJ16" s="234">
        <f>'FIM interventions data'!AT17*'Assumptions data'!$R16*'Local food sourcing'!$K16</f>
        <v>6612.4371845342321</v>
      </c>
      <c r="BK16" s="235">
        <f>'FIM interventions data'!AU17*'Assumptions data'!$P16*'Local food sourcing'!$L16</f>
        <v>79636.866814031673</v>
      </c>
      <c r="BL16" s="118">
        <f>'FIM interventions data'!AB17*'Assumptions data'!$S17*'Assumptions data'!$W17+AR16</f>
        <v>76120524.32646358</v>
      </c>
      <c r="BM16" s="118">
        <f>'FIM interventions data'!AC17*'Assumptions data'!$T17*'Assumptions data'!$X17+AS16</f>
        <v>70589384.241424993</v>
      </c>
      <c r="BN16" s="234">
        <f>'FIM interventions data'!AD17*'Assumptions data'!$U16*'Assumptions data'!$Z17+AT16</f>
        <v>5040176.5585050723</v>
      </c>
      <c r="BO16" s="235">
        <f>'FIM interventions data'!AE17*'Assumptions data'!$V17*'Assumptions data'!$Y17+AU16</f>
        <v>52626400.480936512</v>
      </c>
      <c r="BP16" s="234">
        <f>'FIM interventions data'!AF17*'Assumptions data'!$S17*'Assumptions data'!$W17+AV16</f>
        <v>57684321.937344179</v>
      </c>
      <c r="BQ16" s="234">
        <f>'FIM interventions data'!AG17*'Assumptions data'!$T17*'Assumptions data'!$X17+AW16</f>
        <v>53492810.276474133</v>
      </c>
      <c r="BR16" s="234">
        <f>'FIM interventions data'!AH17*'Assumptions data'!$U16*'Assumptions data'!$Z17+AX16</f>
        <v>3819458.2840095544</v>
      </c>
      <c r="BS16" s="235">
        <f>'FIM interventions data'!AI17*'Assumptions data'!$V17*'Assumptions data'!$Y17+AY16</f>
        <v>39880416.676144317</v>
      </c>
      <c r="BT16" s="234">
        <f>'FIM interventions data'!AJ17*'Assumptions data'!$S17*'Assumptions data'!$W17+AZ16</f>
        <v>16896505.641832903</v>
      </c>
      <c r="BU16" s="234">
        <f>'FIM interventions data'!AK17*'Assumptions data'!$T17*'Assumptions data'!$X17+BA16</f>
        <v>15668756.089664726</v>
      </c>
      <c r="BV16" s="234">
        <f>'FIM interventions data'!AL17*'Assumptions data'!$U16*'Assumptions data'!$Z17+BB16</f>
        <v>1118770.166261299</v>
      </c>
      <c r="BW16" s="235">
        <f>'FIM interventions data'!AM17*'Assumptions data'!$V17*'Assumptions data'!$Y17+BC16</f>
        <v>11681504.83070658</v>
      </c>
      <c r="BX16" s="234">
        <f>'FIM interventions data'!AN17*'Assumptions data'!$S17*'Assumptions data'!$W17+BD16</f>
        <v>20105769.111776017</v>
      </c>
      <c r="BY16" s="234">
        <f>'FIM interventions data'!AO17*'Assumptions data'!$T17*'Assumptions data'!$X17+BE16</f>
        <v>18644825.083096843</v>
      </c>
      <c r="BZ16" s="234">
        <f>'FIM interventions data'!AP17*'Assumptions data'!$U16*'Assumptions data'!$Z17+BF16</f>
        <v>1331265.4775376893</v>
      </c>
      <c r="CA16" s="235">
        <f>'FIM interventions data'!AQ17*'Assumptions data'!$V17*'Assumptions data'!$Y17+BG16</f>
        <v>13900249.198437508</v>
      </c>
      <c r="CB16" s="234">
        <f>'FIM interventions data'!AR17*'Assumptions data'!$S17*'Assumptions data'!$W17+BH16</f>
        <v>453558.00527246192</v>
      </c>
      <c r="CC16" s="234">
        <f>'FIM interventions data'!AS17*'Assumptions data'!$T17*'Assumptions data'!$X17+BI16</f>
        <v>420601.15314814606</v>
      </c>
      <c r="CD16" s="234">
        <f>'FIM interventions data'!AT17*'Assumptions data'!$U16*'Assumptions data'!$Z17+BJ16</f>
        <v>30031.485546426306</v>
      </c>
      <c r="CE16" s="234">
        <f>'FIM interventions data'!AU17*'Assumptions data'!$V17*'Assumptions data'!$Y17+BK16</f>
        <v>313570.16308024974</v>
      </c>
      <c r="CF16" s="247">
        <f>'FIM interventions data'!AV17*'Assumptions data'!$L17*'Local food sourcing'!$I16</f>
        <v>6245103.7146690115</v>
      </c>
      <c r="CG16" s="234">
        <f>'FIM interventions data'!AW17*'Assumptions data'!$N17*'Local food sourcing'!$I16</f>
        <v>14418538.826816954</v>
      </c>
      <c r="CH16" s="234">
        <f>'FIM interventions data'!AX17*'Assumptions data'!$R16*'Local food sourcing'!$K16</f>
        <v>892550.74834598426</v>
      </c>
      <c r="CI16" s="234">
        <f>'FIM interventions data'!AY17*'Assumptions data'!$P16*'Local food sourcing'!$L16</f>
        <v>10749432.181683581</v>
      </c>
      <c r="CJ16" s="247">
        <f>'FIM interventions data'!AV17*'Assumptions data'!$S17*'Assumptions data'!$W17+CF16</f>
        <v>61221532.352864645</v>
      </c>
      <c r="CK16" s="234">
        <f>'FIM interventions data'!AW17*'Assumptions data'!$T17*'Assumptions data'!$X17+CG16</f>
        <v>56772996.630591758</v>
      </c>
      <c r="CL16" s="234">
        <f>'FIM interventions data'!AX17*'Assumptions data'!$U16*'Assumptions data'!$Z17+CH16</f>
        <v>4053667.9820713452</v>
      </c>
      <c r="CM16" s="235">
        <f>'FIM interventions data'!AY17*'Assumptions data'!$V17*'Assumptions data'!$Y17+CI16</f>
        <v>42325889.215379104</v>
      </c>
    </row>
    <row r="17" spans="1:91">
      <c r="A17" s="9">
        <v>16</v>
      </c>
      <c r="B17" s="1" t="s">
        <v>388</v>
      </c>
      <c r="C17" s="1" t="s">
        <v>389</v>
      </c>
      <c r="D17" s="78">
        <f>'FIM interventions data'!E18*'Assumptions data'!L18*'Local food sourcing'!I17</f>
        <v>14707346.675732225</v>
      </c>
      <c r="E17" s="118">
        <f>'FIM interventions data'!G18*'Assumptions data'!N18*'Local food sourcing'!I17</f>
        <v>33955953.139001057</v>
      </c>
      <c r="F17" s="118">
        <f>'FIM interventions data'!I18*'Assumptions data'!$R17*'Local food sourcing'!$K17</f>
        <v>2101975.2243304979</v>
      </c>
      <c r="G17" s="178">
        <f>'FIM interventions data'!K18*'Assumptions data'!$P17*'Local food sourcing'!$L17</f>
        <v>25315132.123738006</v>
      </c>
      <c r="H17" s="247">
        <f>'FIM interventions data'!L18*'Assumptions data'!$L18*'Local food sourcing'!$I17</f>
        <v>2767725.1749001266</v>
      </c>
      <c r="I17" s="234">
        <f>'FIM interventions data'!M18*'Assumptions data'!$N18*'Local food sourcing'!$I17</f>
        <v>6390054.4681940898</v>
      </c>
      <c r="J17" s="234">
        <f>'FIM interventions data'!N18*'Assumptions data'!$R17*'Local food sourcing'!$K17</f>
        <v>395563.51486534998</v>
      </c>
      <c r="K17" s="235">
        <f>'FIM interventions data'!O18*'Assumptions data'!$P17*'Local food sourcing'!$L17</f>
        <v>4763967.9698584573</v>
      </c>
      <c r="L17" s="247">
        <f>'FIM interventions data'!P18*'Assumptions data'!$L18*'Local food sourcing'!$I17</f>
        <v>3262489.513199938</v>
      </c>
      <c r="M17" s="234">
        <f>'FIM interventions data'!Q18*'Assumptions data'!$N18*'Local food sourcing'!$I17</f>
        <v>7532353.96358018</v>
      </c>
      <c r="N17" s="234">
        <f>'FIM interventions data'!R18*'Assumptions data'!$R17*'Local food sourcing'!$K17</f>
        <v>466275.27572324098</v>
      </c>
      <c r="O17" s="235">
        <f>'FIM interventions data'!S18*'Assumptions data'!$P17*'Local food sourcing'!$L17</f>
        <v>5615584.8434064472</v>
      </c>
      <c r="P17" s="247">
        <f>'FIM interventions data'!T18*'Assumptions data'!$L18*'Local food sourcing'!$I17</f>
        <v>8926522.9824007023</v>
      </c>
      <c r="Q17" s="234">
        <f>'FIM interventions data'!U18*'Assumptions data'!$N18*'Local food sourcing'!$I17</f>
        <v>20609332.381126009</v>
      </c>
      <c r="R17" s="234">
        <f>'FIM interventions data'!V18*'Assumptions data'!$R17*'Local food sourcing'!$K17</f>
        <v>1275779.4156972843</v>
      </c>
      <c r="S17" s="235">
        <f>'FIM interventions data'!W18*'Assumptions data'!$P17*'Local food sourcing'!$L17</f>
        <v>15364845.453594167</v>
      </c>
      <c r="T17" s="247">
        <f>'FIM interventions data'!X18*'Assumptions data'!$L18*'Local food sourcing'!$I17</f>
        <v>331204.74710272171</v>
      </c>
      <c r="U17" s="234">
        <f>'FIM interventions data'!Y18*'Assumptions data'!$N18*'Local food sourcing'!$I17</f>
        <v>764677.21336791001</v>
      </c>
      <c r="V17" s="234">
        <f>'FIM interventions data'!Z18*'Assumptions data'!$R17*'Local food sourcing'!$K17</f>
        <v>47335.810322558311</v>
      </c>
      <c r="W17" s="235">
        <f>'FIM interventions data'!AA18*'Assumptions data'!$P17*'Local food sourcing'!$L17</f>
        <v>570088.68545605277</v>
      </c>
      <c r="X17" s="118">
        <f>'FIM interventions data'!E18*'Assumptions data'!S18+D17</f>
        <v>359962309.88854623</v>
      </c>
      <c r="Y17" s="118">
        <f>'FIM interventions data'!G18*'Assumptions data'!T18+E17</f>
        <v>432938402.52226353</v>
      </c>
      <c r="Z17" s="118">
        <f>'FIM interventions data'!I18*'Assumptions data'!U17+F17</f>
        <v>299881798.67115098</v>
      </c>
      <c r="AA17" s="178">
        <f>'FIM interventions data'!K18*'Assumptions data'!$V18+G17</f>
        <v>322767934.57765961</v>
      </c>
      <c r="AB17" s="234">
        <f>'FIM interventions data'!L18*'Assumptions data'!$S18+H17</f>
        <v>67740073.655680597</v>
      </c>
      <c r="AC17" s="234">
        <f>'FIM interventions data'!M18*'Assumptions data'!$T18+I17</f>
        <v>81473194.469474643</v>
      </c>
      <c r="AD17" s="234">
        <f>'FIM interventions data'!N18*'Assumptions data'!$U17+J17</f>
        <v>56433728.12078993</v>
      </c>
      <c r="AE17" s="235">
        <f>'FIM interventions data'!O18*'Assumptions data'!$V18+K17</f>
        <v>60740591.615695342</v>
      </c>
      <c r="AF17" s="234">
        <f>'FIM interventions data'!P18*'Assumptions data'!$S18+L17</f>
        <v>79849430.835568488</v>
      </c>
      <c r="AG17" s="234">
        <f>'FIM interventions data'!Q18*'Assumptions data'!$T18+M17</f>
        <v>96037513.035647303</v>
      </c>
      <c r="AH17" s="234">
        <f>'FIM interventions data'!R18*'Assumptions data'!$U17+N17</f>
        <v>66521939.336515717</v>
      </c>
      <c r="AI17" s="235">
        <f>'FIM interventions data'!S18*'Assumptions data'!$V18+O17</f>
        <v>71598706.753432214</v>
      </c>
      <c r="AJ17" s="234">
        <f>'FIM interventions data'!T18*'Assumptions data'!$S18+P17</f>
        <v>218476649.99425718</v>
      </c>
      <c r="AK17" s="234">
        <f>'FIM interventions data'!U18*'Assumptions data'!$T18+Q17</f>
        <v>262768987.85935664</v>
      </c>
      <c r="AL17" s="234">
        <f>'FIM interventions data'!V18*'Assumptions data'!$U17+R17</f>
        <v>182011196.63947922</v>
      </c>
      <c r="AM17" s="235">
        <f>'FIM interventions data'!W18*'Assumptions data'!$V18+S17</f>
        <v>195901779.53332564</v>
      </c>
      <c r="AN17" s="234">
        <f>'FIM interventions data'!X18*'Assumptions data'!$S18+T17</f>
        <v>8106236.1853391137</v>
      </c>
      <c r="AO17" s="234">
        <f>'FIM interventions data'!Y18*'Assumptions data'!$T18+U17</f>
        <v>9749634.4704408515</v>
      </c>
      <c r="AP17" s="234">
        <f>'FIM interventions data'!Z18*'Assumptions data'!$U17+V17</f>
        <v>6753242.2726849858</v>
      </c>
      <c r="AQ17" s="235">
        <f>'FIM interventions data'!AA18*'Assumptions data'!$V18+W17</f>
        <v>7268630.7395646721</v>
      </c>
      <c r="AR17" s="118">
        <f>'FIM interventions data'!AB18*'Assumptions data'!$L18*'Local food sourcing'!$I17</f>
        <v>4096382.5037127468</v>
      </c>
      <c r="AS17" s="118">
        <f>'FIM interventions data'!AC18*'Assumptions data'!$N18*'Local food sourcing'!$I17</f>
        <v>9457625.1857181918</v>
      </c>
      <c r="AT17" s="118">
        <f>'FIM interventions data'!AD18*'Assumptions data'!$R17*'Local food sourcing'!$K17</f>
        <v>585455.33208874601</v>
      </c>
      <c r="AU17" s="178">
        <f>'FIM interventions data'!AE18*'Assumptions data'!$P17*'Local food sourcing'!$L17</f>
        <v>7050929.4842398204</v>
      </c>
      <c r="AV17" s="234">
        <f>'FIM interventions data'!AF18*'Assumptions data'!$L18*'Local food sourcing'!$I17</f>
        <v>1971368.5932214272</v>
      </c>
      <c r="AW17" s="234">
        <f>'FIM interventions data'!AG18*'Assumptions data'!$N18*'Local food sourcing'!$I17</f>
        <v>4551446.3653446538</v>
      </c>
      <c r="AX17" s="234">
        <f>'FIM interventions data'!AH18*'Assumptions data'!$R17*'Local food sourcing'!$K17</f>
        <v>281748.1652086238</v>
      </c>
      <c r="AY17" s="235">
        <f>'FIM interventions data'!AI18*'Assumptions data'!$P17*'Local food sourcing'!$L17</f>
        <v>3393233.1577071049</v>
      </c>
      <c r="AZ17" s="234">
        <f>'FIM interventions data'!AJ18*'Assumptions data'!$L18*'Local food sourcing'!$I17</f>
        <v>744134.72859984054</v>
      </c>
      <c r="BA17" s="234">
        <f>'FIM interventions data'!AK18*'Assumptions data'!$N18*'Local food sourcing'!$I17</f>
        <v>1718039.5982051913</v>
      </c>
      <c r="BB17" s="234">
        <f>'FIM interventions data'!AL18*'Assumptions data'!$R17*'Local food sourcing'!$K17</f>
        <v>106351.79802089557</v>
      </c>
      <c r="BC17" s="235">
        <f>'FIM interventions data'!AM18*'Assumptions data'!$P17*'Local food sourcing'!$L17</f>
        <v>1280847.551071207</v>
      </c>
      <c r="BD17" s="234">
        <f>'FIM interventions data'!AN18*'Assumptions data'!$L18*'Local food sourcing'!$I17</f>
        <v>1219309.6933973951</v>
      </c>
      <c r="BE17" s="234">
        <f>'FIM interventions data'!AO18*'Assumptions data'!$N18*'Local food sourcing'!$I17</f>
        <v>2815111.6393583203</v>
      </c>
      <c r="BF17" s="234">
        <f>'FIM interventions data'!AP18*'Assumptions data'!$R17*'Local food sourcing'!$K17</f>
        <v>174263.84396964923</v>
      </c>
      <c r="BG17" s="235">
        <f>'FIM interventions data'!AQ18*'Assumptions data'!$P17*'Local food sourcing'!$L17</f>
        <v>2098746.0667559723</v>
      </c>
      <c r="BH17" s="234">
        <f>'FIM interventions data'!AR18*'Assumptions data'!$L18*'Local food sourcing'!$I17</f>
        <v>47628.289721430912</v>
      </c>
      <c r="BI17" s="234">
        <f>'FIM interventions data'!AS18*'Assumptions data'!$N18*'Local food sourcing'!$I17</f>
        <v>109963.0007729559</v>
      </c>
      <c r="BJ17" s="234">
        <f>'FIM interventions data'!AT18*'Assumptions data'!$R17*'Local food sourcing'!$K17</f>
        <v>6807.0391742974525</v>
      </c>
      <c r="BK17" s="235">
        <f>'FIM interventions data'!AU18*'Assumptions data'!$P17*'Local food sourcing'!$L17</f>
        <v>81980.555276852319</v>
      </c>
      <c r="BL17" s="118">
        <f>'FIM interventions data'!AB18*'Assumptions data'!$S18*'Assumptions data'!$W18+AR17</f>
        <v>76218316.959705293</v>
      </c>
      <c r="BM17" s="118">
        <f>'FIM interventions data'!AC18*'Assumptions data'!$T18*'Assumptions data'!$X18+AS17</f>
        <v>65021173.151812568</v>
      </c>
      <c r="BN17" s="234">
        <f>'FIM interventions data'!AD18*'Assumptions data'!$U17*'Assumptions data'!$Z18+AT17</f>
        <v>4732430.6010506973</v>
      </c>
      <c r="BO17" s="235">
        <f>'FIM interventions data'!AE18*'Assumptions data'!$V18*'Assumptions data'!$Y18+AU17</f>
        <v>48475140.204148769</v>
      </c>
      <c r="BP17" s="234">
        <f>'FIM interventions data'!AF18*'Assumptions data'!$S18*'Assumptions data'!$W18+AV17</f>
        <v>36679776.887626179</v>
      </c>
      <c r="BQ17" s="234">
        <f>'FIM interventions data'!AG18*'Assumptions data'!$T18*'Assumptions data'!$X18+AW17</f>
        <v>31291193.761744499</v>
      </c>
      <c r="BR17" s="234">
        <f>'FIM interventions data'!AH18*'Assumptions data'!$U17*'Assumptions data'!$Z18+AX17</f>
        <v>2277464.3354363758</v>
      </c>
      <c r="BS17" s="235">
        <f>'FIM interventions data'!AI18*'Assumptions data'!$V18*'Assumptions data'!$Y18+AY17</f>
        <v>23328477.95923635</v>
      </c>
      <c r="BT17" s="234">
        <f>'FIM interventions data'!AJ18*'Assumptions data'!$S18*'Assumptions data'!$W18+AZ17</f>
        <v>13845556.794010783</v>
      </c>
      <c r="BU17" s="234">
        <f>'FIM interventions data'!AK18*'Assumptions data'!$T18*'Assumptions data'!$X18+BA17</f>
        <v>11811522.237660691</v>
      </c>
      <c r="BV17" s="234">
        <f>'FIM interventions data'!AL18*'Assumptions data'!$U17*'Assumptions data'!$Z18+BB17</f>
        <v>859677.03400223935</v>
      </c>
      <c r="BW17" s="235">
        <f>'FIM interventions data'!AM18*'Assumptions data'!$V18*'Assumptions data'!$Y18+BC17</f>
        <v>8805826.9136145487</v>
      </c>
      <c r="BX17" s="234">
        <f>'FIM interventions data'!AN18*'Assumptions data'!$S18*'Assumptions data'!$W18+BD17</f>
        <v>22686780.982775278</v>
      </c>
      <c r="BY17" s="234">
        <f>'FIM interventions data'!AO18*'Assumptions data'!$T18*'Assumptions data'!$X18+BE17</f>
        <v>19353892.520588454</v>
      </c>
      <c r="BZ17" s="234">
        <f>'FIM interventions data'!AP18*'Assumptions data'!$U17*'Assumptions data'!$Z18+BF17</f>
        <v>1408632.7387546648</v>
      </c>
      <c r="CA17" s="235">
        <f>'FIM interventions data'!AQ18*'Assumptions data'!$V18*'Assumptions data'!$Y18+BG17</f>
        <v>14428879.20894731</v>
      </c>
      <c r="CB17" s="234">
        <f>'FIM interventions data'!AR18*'Assumptions data'!$S18*'Assumptions data'!$W18+BH17</f>
        <v>886183.86562937393</v>
      </c>
      <c r="CC17" s="234">
        <f>'FIM interventions data'!AS18*'Assumptions data'!$T18*'Assumptions data'!$X18+BI17</f>
        <v>755995.6303140719</v>
      </c>
      <c r="CD17" s="234">
        <f>'FIM interventions data'!AT18*'Assumptions data'!$U17*'Assumptions data'!$Z18+BJ17</f>
        <v>55023.566658904405</v>
      </c>
      <c r="CE17" s="234">
        <f>'FIM interventions data'!AU18*'Assumptions data'!$V18*'Assumptions data'!$Y18+BK17</f>
        <v>563616.31752835971</v>
      </c>
      <c r="CF17" s="247">
        <f>'FIM interventions data'!AV18*'Assumptions data'!$L18*'Local food sourcing'!$I17</f>
        <v>3095209.7508832323</v>
      </c>
      <c r="CG17" s="234">
        <f>'FIM interventions data'!AW18*'Assumptions data'!$N18*'Local food sourcing'!$I17</f>
        <v>7146142.6437843563</v>
      </c>
      <c r="CH17" s="234">
        <f>'FIM interventions data'!AX18*'Assumptions data'!$R17*'Local food sourcing'!$K17</f>
        <v>442367.63801848807</v>
      </c>
      <c r="CI17" s="234">
        <f>'FIM interventions data'!AY18*'Assumptions data'!$P17*'Local food sourcing'!$L17</f>
        <v>5327653.2825313425</v>
      </c>
      <c r="CJ17" s="247">
        <f>'FIM interventions data'!AV18*'Assumptions data'!$S18*'Assumptions data'!$W18+CF17</f>
        <v>57590246.427371137</v>
      </c>
      <c r="CK17" s="234">
        <f>'FIM interventions data'!AW18*'Assumptions data'!$T18*'Assumptions data'!$X18+CG17</f>
        <v>49129730.676017456</v>
      </c>
      <c r="CL17" s="234">
        <f>'FIM interventions data'!AX18*'Assumptions data'!$U17*'Assumptions data'!$Z18+CH17</f>
        <v>3575805.0739827785</v>
      </c>
      <c r="CM17" s="235">
        <f>'FIM interventions data'!AY18*'Assumptions data'!$V18*'Assumptions data'!$Y18+CI17</f>
        <v>36627616.317402981</v>
      </c>
    </row>
    <row r="18" spans="1:91">
      <c r="A18" s="9">
        <v>17</v>
      </c>
      <c r="B18" s="1" t="s">
        <v>393</v>
      </c>
      <c r="C18" s="1" t="s">
        <v>394</v>
      </c>
      <c r="D18" s="78">
        <f>'FIM interventions data'!E19*'Assumptions data'!L19*'Local food sourcing'!I18</f>
        <v>28705533.077799227</v>
      </c>
      <c r="E18" s="118">
        <f>'FIM interventions data'!G19*'Assumptions data'!N19*'Local food sourcing'!I18</f>
        <v>66274614.824177124</v>
      </c>
      <c r="F18" s="118">
        <f>'FIM interventions data'!I19*'Assumptions data'!$R18*'Local food sourcing'!$K18</f>
        <v>4102597.2026820071</v>
      </c>
      <c r="G18" s="178">
        <f>'FIM interventions data'!K19*'Assumptions data'!$P18*'Local food sourcing'!$L18</f>
        <v>49409616.742486969</v>
      </c>
      <c r="H18" s="247">
        <f>'FIM interventions data'!L19*'Assumptions data'!$L19*'Local food sourcing'!$I18</f>
        <v>7741977.2572857933</v>
      </c>
      <c r="I18" s="234">
        <f>'FIM interventions data'!M19*'Assumptions data'!$N19*'Local food sourcing'!$I18</f>
        <v>17874482.919844557</v>
      </c>
      <c r="J18" s="234">
        <f>'FIM interventions data'!N19*'Assumptions data'!$R18*'Local food sourcing'!$K18</f>
        <v>1106484.0409995108</v>
      </c>
      <c r="K18" s="235">
        <f>'FIM interventions data'!O19*'Assumptions data'!$P18*'Local food sourcing'!$L18</f>
        <v>13325937.131172374</v>
      </c>
      <c r="L18" s="247">
        <f>'FIM interventions data'!P19*'Assumptions data'!$L19*'Local food sourcing'!$I18</f>
        <v>5930451.3974986318</v>
      </c>
      <c r="M18" s="234">
        <f>'FIM interventions data'!Q19*'Assumptions data'!$N19*'Local food sourcing'!$I18</f>
        <v>13692077.448535502</v>
      </c>
      <c r="N18" s="234">
        <f>'FIM interventions data'!R19*'Assumptions data'!$R18*'Local food sourcing'!$K18</f>
        <v>847580.61270203104</v>
      </c>
      <c r="O18" s="235">
        <f>'FIM interventions data'!S19*'Assumptions data'!$P18*'Local food sourcing'!$L18</f>
        <v>10207834.491914572</v>
      </c>
      <c r="P18" s="247">
        <f>'FIM interventions data'!T19*'Assumptions data'!$L19*'Local food sourcing'!$I18</f>
        <v>12018763.147947391</v>
      </c>
      <c r="Q18" s="234">
        <f>'FIM interventions data'!U19*'Assumptions data'!$N19*'Local food sourcing'!$I18</f>
        <v>27748618.920763701</v>
      </c>
      <c r="R18" s="234">
        <f>'FIM interventions data'!V19*'Assumptions data'!$R18*'Local food sourcing'!$K18</f>
        <v>1717722.6403296215</v>
      </c>
      <c r="S18" s="235">
        <f>'FIM interventions data'!W19*'Assumptions data'!$P18*'Local food sourcing'!$L18</f>
        <v>20687387.314819902</v>
      </c>
      <c r="T18" s="247">
        <f>'FIM interventions data'!X19*'Assumptions data'!$L19*'Local food sourcing'!$I18</f>
        <v>336680.92239228502</v>
      </c>
      <c r="U18" s="234">
        <f>'FIM interventions data'!Y19*'Assumptions data'!$N19*'Local food sourcing'!$I18</f>
        <v>777320.46953186451</v>
      </c>
      <c r="V18" s="234">
        <f>'FIM interventions data'!Z19*'Assumptions data'!$R18*'Local food sourcing'!$K18</f>
        <v>48118.46575569272</v>
      </c>
      <c r="W18" s="235">
        <f>'FIM interventions data'!AA19*'Assumptions data'!$P18*'Local food sourcing'!$L18</f>
        <v>579514.59374832071</v>
      </c>
      <c r="X18" s="118">
        <f>'FIM interventions data'!E19*'Assumptions data'!S19+D18</f>
        <v>702567922.07913601</v>
      </c>
      <c r="Y18" s="118">
        <f>'FIM interventions data'!G19*'Assumptions data'!T19+E18</f>
        <v>845001339.00825846</v>
      </c>
      <c r="Z18" s="118">
        <f>'FIM interventions data'!I19*'Assumptions data'!U18+F18</f>
        <v>585303867.58263302</v>
      </c>
      <c r="AA18" s="178">
        <f>'FIM interventions data'!K19*'Assumptions data'!$V19+G18</f>
        <v>629972613.4667089</v>
      </c>
      <c r="AB18" s="234">
        <f>'FIM interventions data'!L19*'Assumptions data'!$S19+H18</f>
        <v>189484893.37206981</v>
      </c>
      <c r="AC18" s="234">
        <f>'FIM interventions data'!M19*'Assumptions data'!$T19+I18</f>
        <v>227899657.22801811</v>
      </c>
      <c r="AD18" s="234">
        <f>'FIM interventions data'!N19*'Assumptions data'!$U18+J18</f>
        <v>157858389.84926352</v>
      </c>
      <c r="AE18" s="235">
        <f>'FIM interventions data'!O19*'Assumptions data'!$V19+K18</f>
        <v>169905698.4224478</v>
      </c>
      <c r="AF18" s="234">
        <f>'FIM interventions data'!P19*'Assumptions data'!$S19+L18</f>
        <v>145147797.95377901</v>
      </c>
      <c r="AG18" s="234">
        <f>'FIM interventions data'!Q19*'Assumptions data'!$T19+M18</f>
        <v>174573987.46882769</v>
      </c>
      <c r="AH18" s="234">
        <f>'FIM interventions data'!R19*'Assumptions data'!$U18+N18</f>
        <v>120921500.74548976</v>
      </c>
      <c r="AI18" s="235">
        <f>'FIM interventions data'!S19*'Assumptions data'!$V19+O18</f>
        <v>130149889.7719108</v>
      </c>
      <c r="AJ18" s="234">
        <f>'FIM interventions data'!T19*'Assumptions data'!$S19+P18</f>
        <v>294159228.04601234</v>
      </c>
      <c r="AK18" s="234">
        <f>'FIM interventions data'!U19*'Assumptions data'!$T19+Q18</f>
        <v>353794891.23973727</v>
      </c>
      <c r="AL18" s="234">
        <f>'FIM interventions data'!V19*'Assumptions data'!$U18+R18</f>
        <v>245061763.35369265</v>
      </c>
      <c r="AM18" s="235">
        <f>'FIM interventions data'!W19*'Assumptions data'!$V19+S18</f>
        <v>263764188.2639538</v>
      </c>
      <c r="AN18" s="234">
        <f>'FIM interventions data'!X19*'Assumptions data'!$S19+T18</f>
        <v>8240265.5755511764</v>
      </c>
      <c r="AO18" s="234">
        <f>'FIM interventions data'!Y19*'Assumptions data'!$T19+U18</f>
        <v>9910835.9865312725</v>
      </c>
      <c r="AP18" s="234">
        <f>'FIM interventions data'!Z19*'Assumptions data'!$U18+V18</f>
        <v>6864901.1144788284</v>
      </c>
      <c r="AQ18" s="235">
        <f>'FIM interventions data'!AA19*'Assumptions data'!$V19+W18</f>
        <v>7388811.0702910898</v>
      </c>
      <c r="AR18" s="118">
        <f>'FIM interventions data'!AB19*'Assumptions data'!$L19*'Local food sourcing'!$I18</f>
        <v>10173770.161092661</v>
      </c>
      <c r="AS18" s="118">
        <f>'FIM interventions data'!AC19*'Assumptions data'!$N19*'Local food sourcing'!$I18</f>
        <v>23488945.385849509</v>
      </c>
      <c r="AT18" s="118">
        <f>'FIM interventions data'!AD19*'Assumptions data'!$R18*'Local food sourcing'!$K18</f>
        <v>1454036.0874158144</v>
      </c>
      <c r="AU18" s="178">
        <f>'FIM interventions data'!AE19*'Assumptions data'!$P18*'Local food sourcing'!$L18</f>
        <v>17511679.129014716</v>
      </c>
      <c r="AV18" s="234">
        <f>'FIM interventions data'!AF19*'Assumptions data'!$L19*'Local food sourcing'!$I18</f>
        <v>7510569.5543238148</v>
      </c>
      <c r="AW18" s="234">
        <f>'FIM interventions data'!AG19*'Assumptions data'!$N19*'Local food sourcing'!$I18</f>
        <v>17340214.619040422</v>
      </c>
      <c r="AX18" s="234">
        <f>'FIM interventions data'!AH19*'Assumptions data'!$R18*'Local food sourcing'!$K18</f>
        <v>1073411.2326221908</v>
      </c>
      <c r="AY18" s="235">
        <f>'FIM interventions data'!AI19*'Assumptions data'!$P18*'Local food sourcing'!$L18</f>
        <v>12927624.865602449</v>
      </c>
      <c r="AZ18" s="234">
        <f>'FIM interventions data'!AJ19*'Assumptions data'!$L19*'Local food sourcing'!$I18</f>
        <v>1544329.1018708139</v>
      </c>
      <c r="BA18" s="234">
        <f>'FIM interventions data'!AK19*'Assumptions data'!$N19*'Local food sourcing'!$I18</f>
        <v>3565508.298029575</v>
      </c>
      <c r="BB18" s="234">
        <f>'FIM interventions data'!AL19*'Assumptions data'!$R18*'Local food sourcing'!$K18</f>
        <v>220715.64517489052</v>
      </c>
      <c r="BC18" s="235">
        <f>'FIM interventions data'!AM19*'Assumptions data'!$P18*'Local food sourcing'!$L18</f>
        <v>2658188.191137264</v>
      </c>
      <c r="BD18" s="234">
        <f>'FIM interventions data'!AN19*'Assumptions data'!$L19*'Local food sourcing'!$I18</f>
        <v>1382921.0580285992</v>
      </c>
      <c r="BE18" s="234">
        <f>'FIM interventions data'!AO19*'Assumptions data'!$N19*'Local food sourcing'!$I18</f>
        <v>3192853.4545826898</v>
      </c>
      <c r="BF18" s="234">
        <f>'FIM interventions data'!AP19*'Assumptions data'!$R18*'Local food sourcing'!$K18</f>
        <v>197647.19396854175</v>
      </c>
      <c r="BG18" s="235">
        <f>'FIM interventions data'!AQ19*'Assumptions data'!$P18*'Local food sourcing'!$L18</f>
        <v>2380363.370264445</v>
      </c>
      <c r="BH18" s="234">
        <f>'FIM interventions data'!AR19*'Assumptions data'!$L19*'Local food sourcing'!$I18</f>
        <v>81293.632788300383</v>
      </c>
      <c r="BI18" s="234">
        <f>'FIM interventions data'!AS19*'Assumptions data'!$N19*'Local food sourcing'!$I18</f>
        <v>187688.70050595017</v>
      </c>
      <c r="BJ18" s="234">
        <f>'FIM interventions data'!AT19*'Assumptions data'!$R18*'Local food sourcing'!$K18</f>
        <v>11618.492837921864</v>
      </c>
      <c r="BK18" s="235">
        <f>'FIM interventions data'!AU19*'Assumptions data'!$P18*'Local food sourcing'!$L18</f>
        <v>139927.28261788972</v>
      </c>
      <c r="BL18" s="118">
        <f>'FIM interventions data'!AB19*'Assumptions data'!$S19*'Assumptions data'!$W19+AR18</f>
        <v>189295711.05983034</v>
      </c>
      <c r="BM18" s="118">
        <f>'FIM interventions data'!AC19*'Assumptions data'!$T19*'Assumptions data'!$X19+AS18</f>
        <v>161486499.52771538</v>
      </c>
      <c r="BN18" s="234">
        <f>'FIM interventions data'!AD19*'Assumptions data'!$U18*'Assumptions data'!$Z19+AT18</f>
        <v>11753458.373277836</v>
      </c>
      <c r="BO18" s="235">
        <f>'FIM interventions data'!AE19*'Assumptions data'!$V19*'Assumptions data'!$Y19+AU18</f>
        <v>120392794.01197618</v>
      </c>
      <c r="BP18" s="234">
        <f>'FIM interventions data'!AF19*'Assumptions data'!$S19*'Assumptions data'!$W19+AV18</f>
        <v>139743534.77013749</v>
      </c>
      <c r="BQ18" s="234">
        <f>'FIM interventions data'!AG19*'Assumptions data'!$T19*'Assumptions data'!$X19+AW18</f>
        <v>119213975.50590292</v>
      </c>
      <c r="BR18" s="234">
        <f>'FIM interventions data'!AH19*'Assumptions data'!$U18*'Assumptions data'!$Z19+AX18</f>
        <v>8676740.797029376</v>
      </c>
      <c r="BS18" s="235">
        <f>'FIM interventions data'!AI19*'Assumptions data'!$V19*'Assumptions data'!$Y19+AY18</f>
        <v>88877420.951016843</v>
      </c>
      <c r="BT18" s="234">
        <f>'FIM interventions data'!AJ19*'Assumptions data'!$S19*'Assumptions data'!$W19+AZ18</f>
        <v>28734173.351683825</v>
      </c>
      <c r="BU18" s="234">
        <f>'FIM interventions data'!AK19*'Assumptions data'!$T19*'Assumptions data'!$X19+BA18</f>
        <v>24512869.548953328</v>
      </c>
      <c r="BV18" s="234">
        <f>'FIM interventions data'!AL19*'Assumptions data'!$U18*'Assumptions data'!$Z19+BB18</f>
        <v>1784118.1318303652</v>
      </c>
      <c r="BW18" s="235">
        <f>'FIM interventions data'!AM19*'Assumptions data'!$V19*'Assumptions data'!$Y19+BC18</f>
        <v>18275043.81406869</v>
      </c>
      <c r="BX18" s="234">
        <f>'FIM interventions data'!AN19*'Assumptions data'!$S19*'Assumptions data'!$W19+BD18</f>
        <v>25730974.935944624</v>
      </c>
      <c r="BY18" s="234">
        <f>'FIM interventions data'!AO19*'Assumptions data'!$T19*'Assumptions data'!$X19+BE18</f>
        <v>21950867.500255994</v>
      </c>
      <c r="BZ18" s="234">
        <f>'FIM interventions data'!AP19*'Assumptions data'!$U18*'Assumptions data'!$Z19+BF18</f>
        <v>1597648.1512457123</v>
      </c>
      <c r="CA18" s="235">
        <f>'FIM interventions data'!AQ19*'Assumptions data'!$V19*'Assumptions data'!$Y19+BG18</f>
        <v>16364998.17056806</v>
      </c>
      <c r="CB18" s="234">
        <f>'FIM interventions data'!AR19*'Assumptions data'!$S19*'Assumptions data'!$W19+BH18</f>
        <v>1512569.6550673139</v>
      </c>
      <c r="CC18" s="234">
        <f>'FIM interventions data'!AS19*'Assumptions data'!$T19*'Assumptions data'!$X19+BI18</f>
        <v>1290359.8159784076</v>
      </c>
      <c r="CD18" s="234">
        <f>'FIM interventions data'!AT19*'Assumptions data'!$U18*'Assumptions data'!$Z19+BJ18</f>
        <v>93916.150439868405</v>
      </c>
      <c r="CE18" s="234">
        <f>'FIM interventions data'!AU19*'Assumptions data'!$V19*'Assumptions data'!$Y19+BK18</f>
        <v>962000.06799799192</v>
      </c>
      <c r="CF18" s="247">
        <f>'FIM interventions data'!AV19*'Assumptions data'!$L19*'Local food sourcing'!$I18</f>
        <v>6539819.9053906966</v>
      </c>
      <c r="CG18" s="234">
        <f>'FIM interventions data'!AW19*'Assumptions data'!$N19*'Local food sourcing'!$I18</f>
        <v>15098972.176359398</v>
      </c>
      <c r="CH18" s="234">
        <f>'FIM interventions data'!AX19*'Assumptions data'!$R18*'Local food sourcing'!$K18</f>
        <v>934671.61112052016</v>
      </c>
      <c r="CI18" s="234">
        <f>'FIM interventions data'!AY19*'Assumptions data'!$P18*'Local food sourcing'!$L18</f>
        <v>11256714.662447758</v>
      </c>
      <c r="CJ18" s="247">
        <f>'FIM interventions data'!AV19*'Assumptions data'!$S19*'Assumptions data'!$W19+CF18</f>
        <v>121681524.11467564</v>
      </c>
      <c r="CK18" s="234">
        <f>'FIM interventions data'!AW19*'Assumptions data'!$T19*'Assumptions data'!$X19+CG18</f>
        <v>103805433.71247087</v>
      </c>
      <c r="CL18" s="234">
        <f>'FIM interventions data'!AX19*'Assumptions data'!$U18*'Assumptions data'!$Z19+CH18</f>
        <v>7555262.1898908708</v>
      </c>
      <c r="CM18" s="235">
        <f>'FIM interventions data'!AY19*'Assumptions data'!$V19*'Assumptions data'!$Y19+CI18</f>
        <v>77389913.304328352</v>
      </c>
    </row>
    <row r="19" spans="1:91">
      <c r="A19" s="9">
        <v>18</v>
      </c>
      <c r="B19" s="1" t="s">
        <v>398</v>
      </c>
      <c r="C19" s="1" t="s">
        <v>399</v>
      </c>
      <c r="D19" s="78">
        <f>'FIM interventions data'!E20*'Assumptions data'!L20*'Local food sourcing'!I19</f>
        <v>25004401.351158131</v>
      </c>
      <c r="E19" s="118">
        <f>'FIM interventions data'!G20*'Assumptions data'!N20*'Local food sourcing'!I19</f>
        <v>57729534.719519973</v>
      </c>
      <c r="F19" s="118">
        <f>'FIM interventions data'!I20*'Assumptions data'!$R19*'Local food sourcing'!$K19</f>
        <v>3573631.1449076324</v>
      </c>
      <c r="G19" s="178">
        <f>'FIM interventions data'!K20*'Assumptions data'!$P19*'Local food sourcing'!$L19</f>
        <v>43039015.659024492</v>
      </c>
      <c r="H19" s="247">
        <f>'FIM interventions data'!L20*'Assumptions data'!$L20*'Local food sourcing'!$I19</f>
        <v>8825480.9139497578</v>
      </c>
      <c r="I19" s="234">
        <f>'FIM interventions data'!M20*'Assumptions data'!$N20*'Local food sourcing'!$I19</f>
        <v>20376048.987660542</v>
      </c>
      <c r="J19" s="234">
        <f>'FIM interventions data'!N20*'Assumptions data'!$R19*'Local food sourcing'!$K19</f>
        <v>1261338.4747728799</v>
      </c>
      <c r="K19" s="235">
        <f>'FIM interventions data'!O20*'Assumptions data'!$P19*'Local food sourcing'!$L19</f>
        <v>15190926.026161887</v>
      </c>
      <c r="L19" s="247">
        <f>'FIM interventions data'!P20*'Assumptions data'!$L20*'Local food sourcing'!$I19</f>
        <v>4167265.7603958808</v>
      </c>
      <c r="M19" s="234">
        <f>'FIM interventions data'!Q20*'Assumptions data'!$N20*'Local food sourcing'!$I19</f>
        <v>9621278.6709687859</v>
      </c>
      <c r="N19" s="234">
        <f>'FIM interventions data'!R20*'Assumptions data'!$R19*'Local food sourcing'!$K19</f>
        <v>595585.97309781786</v>
      </c>
      <c r="O19" s="235">
        <f>'FIM interventions data'!S20*'Assumptions data'!$P19*'Local food sourcing'!$L19</f>
        <v>7172937.8279511482</v>
      </c>
      <c r="P19" s="247">
        <f>'FIM interventions data'!T20*'Assumptions data'!$L20*'Local food sourcing'!$I19</f>
        <v>12005134.591791835</v>
      </c>
      <c r="Q19" s="234">
        <f>'FIM interventions data'!U20*'Assumptions data'!$N20*'Local food sourcing'!$I19</f>
        <v>27717153.652121205</v>
      </c>
      <c r="R19" s="234">
        <f>'FIM interventions data'!V20*'Assumptions data'!$R19*'Local food sourcing'!$K19</f>
        <v>1715774.8459372008</v>
      </c>
      <c r="S19" s="235">
        <f>'FIM interventions data'!W20*'Assumptions data'!$P19*'Local food sourcing'!$L19</f>
        <v>20663929.05906919</v>
      </c>
      <c r="T19" s="247">
        <f>'FIM interventions data'!X20*'Assumptions data'!$L20*'Local food sourcing'!$I19</f>
        <v>291674.0774136238</v>
      </c>
      <c r="U19" s="234">
        <f>'FIM interventions data'!Y20*'Assumptions data'!$N20*'Local food sourcing'!$I19</f>
        <v>673409.79463416943</v>
      </c>
      <c r="V19" s="234">
        <f>'FIM interventions data'!Z20*'Assumptions data'!$R19*'Local food sourcing'!$K19</f>
        <v>41686.083684592893</v>
      </c>
      <c r="W19" s="235">
        <f>'FIM interventions data'!AA20*'Assumptions data'!$P19*'Local food sourcing'!$L19</f>
        <v>502046.22013696173</v>
      </c>
      <c r="X19" s="118">
        <f>'FIM interventions data'!E20*'Assumptions data'!S20+D19</f>
        <v>611982723.06959534</v>
      </c>
      <c r="Y19" s="118">
        <f>'FIM interventions data'!G20*'Assumptions data'!T20+E19</f>
        <v>736051567.67387974</v>
      </c>
      <c r="Z19" s="118">
        <f>'FIM interventions data'!I20*'Assumptions data'!U19+F19</f>
        <v>509838043.3401556</v>
      </c>
      <c r="AA19" s="178">
        <f>'FIM interventions data'!K20*'Assumptions data'!$V20+G19</f>
        <v>548747449.65256238</v>
      </c>
      <c r="AB19" s="234">
        <f>'FIM interventions data'!L20*'Assumptions data'!$S20+H19</f>
        <v>216003645.36892036</v>
      </c>
      <c r="AC19" s="234">
        <f>'FIM interventions data'!M20*'Assumptions data'!$T20+I19</f>
        <v>259794624.59267187</v>
      </c>
      <c r="AD19" s="234">
        <f>'FIM interventions data'!N20*'Assumptions data'!$U19+J19</f>
        <v>179950955.73426417</v>
      </c>
      <c r="AE19" s="235">
        <f>'FIM interventions data'!O20*'Assumptions data'!$V20+K19</f>
        <v>193684306.83356407</v>
      </c>
      <c r="AF19" s="234">
        <f>'FIM interventions data'!P20*'Assumptions data'!$S20+L19</f>
        <v>101993829.48568919</v>
      </c>
      <c r="AG19" s="234">
        <f>'FIM interventions data'!Q20*'Assumptions data'!$T20+M19</f>
        <v>122671303.05485204</v>
      </c>
      <c r="AH19" s="234">
        <f>'FIM interventions data'!R20*'Assumptions data'!$U19+N19</f>
        <v>84970265.495288685</v>
      </c>
      <c r="AI19" s="235">
        <f>'FIM interventions data'!S20*'Assumptions data'!$V20+O19</f>
        <v>91454957.306377143</v>
      </c>
      <c r="AJ19" s="234">
        <f>'FIM interventions data'!T20*'Assumptions data'!$S20+P19</f>
        <v>293825669.13410515</v>
      </c>
      <c r="AK19" s="234">
        <f>'FIM interventions data'!U20*'Assumptions data'!$T20+Q19</f>
        <v>353393709.06454539</v>
      </c>
      <c r="AL19" s="234">
        <f>'FIM interventions data'!V20*'Assumptions data'!$U19+R19</f>
        <v>244783878.02037397</v>
      </c>
      <c r="AM19" s="235">
        <f>'FIM interventions data'!W20*'Assumptions data'!$V20+S19</f>
        <v>263465095.50313219</v>
      </c>
      <c r="AN19" s="234">
        <f>'FIM interventions data'!X20*'Assumptions data'!$S20+T19</f>
        <v>7138723.0446984423</v>
      </c>
      <c r="AO19" s="234">
        <f>'FIM interventions data'!Y20*'Assumptions data'!$T20+U19</f>
        <v>8585974.8815856613</v>
      </c>
      <c r="AP19" s="234">
        <f>'FIM interventions data'!Z20*'Assumptions data'!$U19+V19</f>
        <v>5947214.6056685857</v>
      </c>
      <c r="AQ19" s="235">
        <f>'FIM interventions data'!AA20*'Assumptions data'!$V20+W19</f>
        <v>6401089.3067462621</v>
      </c>
      <c r="AR19" s="118">
        <f>'FIM interventions data'!AB20*'Assumptions data'!$L20*'Local food sourcing'!$I19</f>
        <v>9749436.2019960806</v>
      </c>
      <c r="AS19" s="118">
        <f>'FIM interventions data'!AC20*'Assumptions data'!$N20*'Local food sourcing'!$I19</f>
        <v>22509253.783546753</v>
      </c>
      <c r="AT19" s="118">
        <f>'FIM interventions data'!AD20*'Assumptions data'!$R19*'Local food sourcing'!$K19</f>
        <v>1393390.2422794632</v>
      </c>
      <c r="AU19" s="178">
        <f>'FIM interventions data'!AE20*'Assumptions data'!$P19*'Local food sourcing'!$L19</f>
        <v>16781291.080377527</v>
      </c>
      <c r="AV19" s="234">
        <f>'FIM interventions data'!AF20*'Assumptions data'!$L20*'Local food sourcing'!$I19</f>
        <v>7139348.8379615545</v>
      </c>
      <c r="AW19" s="234">
        <f>'FIM interventions data'!AG20*'Assumptions data'!$N20*'Local food sourcing'!$I19</f>
        <v>16483149.539462039</v>
      </c>
      <c r="AX19" s="234">
        <f>'FIM interventions data'!AH20*'Assumptions data'!$R19*'Local food sourcing'!$K19</f>
        <v>1020356.3366062278</v>
      </c>
      <c r="AY19" s="235">
        <f>'FIM interventions data'!AI20*'Assumptions data'!$P19*'Local food sourcing'!$L19</f>
        <v>12288658.389257289</v>
      </c>
      <c r="AZ19" s="234">
        <f>'FIM interventions data'!AJ20*'Assumptions data'!$L20*'Local food sourcing'!$I19</f>
        <v>1879436.8579385409</v>
      </c>
      <c r="BA19" s="234">
        <f>'FIM interventions data'!AK20*'Assumptions data'!$N20*'Local food sourcing'!$I19</f>
        <v>4339196.6806069184</v>
      </c>
      <c r="BB19" s="234">
        <f>'FIM interventions data'!AL20*'Assumptions data'!$R19*'Local food sourcing'!$K19</f>
        <v>268609.27386711567</v>
      </c>
      <c r="BC19" s="235">
        <f>'FIM interventions data'!AM20*'Assumptions data'!$P19*'Local food sourcing'!$L19</f>
        <v>3234994.9604059653</v>
      </c>
      <c r="BD19" s="234">
        <f>'FIM interventions data'!AN20*'Assumptions data'!$L20*'Local food sourcing'!$I19</f>
        <v>1308810.7823034937</v>
      </c>
      <c r="BE19" s="234">
        <f>'FIM interventions data'!AO20*'Assumptions data'!$N20*'Local food sourcing'!$I19</f>
        <v>3021749.5087028765</v>
      </c>
      <c r="BF19" s="234">
        <f>'FIM interventions data'!AP20*'Assumptions data'!$R19*'Local food sourcing'!$K19</f>
        <v>187055.34712647914</v>
      </c>
      <c r="BG19" s="235">
        <f>'FIM interventions data'!AQ20*'Assumptions data'!$P19*'Local food sourcing'!$L19</f>
        <v>2252800.4955276055</v>
      </c>
      <c r="BH19" s="234">
        <f>'FIM interventions data'!AR20*'Assumptions data'!$L20*'Local food sourcing'!$I19</f>
        <v>68305.981964871462</v>
      </c>
      <c r="BI19" s="234">
        <f>'FIM interventions data'!AS20*'Assumptions data'!$N20*'Local food sourcing'!$I19</f>
        <v>157703.13802011145</v>
      </c>
      <c r="BJ19" s="234">
        <f>'FIM interventions data'!AT20*'Assumptions data'!$R19*'Local food sourcing'!$K19</f>
        <v>9762.2966894929341</v>
      </c>
      <c r="BK19" s="235">
        <f>'FIM interventions data'!AU20*'Assumptions data'!$P19*'Local food sourcing'!$L19</f>
        <v>117572.19003585477</v>
      </c>
      <c r="BL19" s="118">
        <f>'FIM interventions data'!AB20*'Assumptions data'!$S20*'Assumptions data'!$W20+AR19</f>
        <v>181400447.33338958</v>
      </c>
      <c r="BM19" s="118">
        <f>'FIM interventions data'!AC20*'Assumptions data'!$T20*'Assumptions data'!$X20+AS19</f>
        <v>154751119.76188394</v>
      </c>
      <c r="BN19" s="234">
        <f>'FIM interventions data'!AD20*'Assumptions data'!$U19*'Assumptions data'!$Z20+AT19</f>
        <v>11263237.791758994</v>
      </c>
      <c r="BO19" s="235">
        <f>'FIM interventions data'!AE20*'Assumptions data'!$V20*'Assumptions data'!$Y20+AU19</f>
        <v>115371376.1775955</v>
      </c>
      <c r="BP19" s="234">
        <f>'FIM interventions data'!AF20*'Assumptions data'!$S20*'Assumptions data'!$W20+AV19</f>
        <v>132836509.31632218</v>
      </c>
      <c r="BQ19" s="234">
        <f>'FIM interventions data'!AG20*'Assumptions data'!$T20*'Assumptions data'!$X20+AW19</f>
        <v>113321653.08380154</v>
      </c>
      <c r="BR19" s="234">
        <f>'FIM interventions data'!AH20*'Assumptions data'!$U19*'Assumptions data'!$Z20+AX19</f>
        <v>8247880.387567007</v>
      </c>
      <c r="BS19" s="235">
        <f>'FIM interventions data'!AI20*'Assumptions data'!$V20*'Assumptions data'!$Y20+AY19</f>
        <v>84484526.426143885</v>
      </c>
      <c r="BT19" s="234">
        <f>'FIM interventions data'!AJ20*'Assumptions data'!$S20*'Assumptions data'!$W20+AZ19</f>
        <v>34969272.038018979</v>
      </c>
      <c r="BU19" s="234">
        <f>'FIM interventions data'!AK20*'Assumptions data'!$T20*'Assumptions data'!$X20+BA19</f>
        <v>29831977.179172568</v>
      </c>
      <c r="BV19" s="234">
        <f>'FIM interventions data'!AL20*'Assumptions data'!$U19*'Assumptions data'!$Z20+BB19</f>
        <v>2171258.2970925183</v>
      </c>
      <c r="BW19" s="235">
        <f>'FIM interventions data'!AM20*'Assumptions data'!$V20*'Assumptions data'!$Y20+BC19</f>
        <v>22240590.352791011</v>
      </c>
      <c r="BX19" s="234">
        <f>'FIM interventions data'!AN20*'Assumptions data'!$S20*'Assumptions data'!$W20+BD19</f>
        <v>24352060.618234381</v>
      </c>
      <c r="BY19" s="234">
        <f>'FIM interventions data'!AO20*'Assumptions data'!$T20*'Assumptions data'!$X20+BE19</f>
        <v>20774527.872332279</v>
      </c>
      <c r="BZ19" s="234">
        <f>'FIM interventions data'!AP20*'Assumptions data'!$U19*'Assumptions data'!$Z20+BF19</f>
        <v>1512030.7226057067</v>
      </c>
      <c r="CA19" s="235">
        <f>'FIM interventions data'!AQ20*'Assumptions data'!$V20*'Assumptions data'!$Y20+BG19</f>
        <v>15488003.406752288</v>
      </c>
      <c r="CB19" s="234">
        <f>'FIM interventions data'!AR20*'Assumptions data'!$S20*'Assumptions data'!$W20+BH19</f>
        <v>1270918.1769338895</v>
      </c>
      <c r="CC19" s="234">
        <f>'FIM interventions data'!AS20*'Assumptions data'!$T20*'Assumptions data'!$X20+BI19</f>
        <v>1084209.0738882662</v>
      </c>
      <c r="CD19" s="234">
        <f>'FIM interventions data'!AT20*'Assumptions data'!$U19*'Assumptions data'!$Z20+BJ19</f>
        <v>78911.89824006788</v>
      </c>
      <c r="CE19" s="234">
        <f>'FIM interventions data'!AU20*'Assumptions data'!$V20*'Assumptions data'!$Y20+BK19</f>
        <v>808308.80649650167</v>
      </c>
      <c r="CF19" s="247">
        <f>'FIM interventions data'!AV20*'Assumptions data'!$L20*'Local food sourcing'!$I19</f>
        <v>7321475.083827924</v>
      </c>
      <c r="CG19" s="234">
        <f>'FIM interventions data'!AW20*'Assumptions data'!$N20*'Local food sourcing'!$I19</f>
        <v>16903638.048121791</v>
      </c>
      <c r="CH19" s="234">
        <f>'FIM interventions data'!AX20*'Assumptions data'!$R19*'Local food sourcing'!$K19</f>
        <v>1046385.8349890403</v>
      </c>
      <c r="CI19" s="234">
        <f>'FIM interventions data'!AY20*'Assumptions data'!$P19*'Local food sourcing'!$L19</f>
        <v>12602144.572656713</v>
      </c>
      <c r="CJ19" s="247">
        <f>'FIM interventions data'!AV20*'Assumptions data'!$S20*'Assumptions data'!$W20+CF19</f>
        <v>136225195.77847332</v>
      </c>
      <c r="CK19" s="234">
        <f>'FIM interventions data'!AW20*'Assumptions data'!$T20*'Assumptions data'!$X20+CG19</f>
        <v>116212511.58083732</v>
      </c>
      <c r="CL19" s="234">
        <f>'FIM interventions data'!AX20*'Assumptions data'!$U19*'Assumptions data'!$Z20+CH19</f>
        <v>8458285.4994947426</v>
      </c>
      <c r="CM19" s="235">
        <f>'FIM interventions data'!AY20*'Assumptions data'!$V20*'Assumptions data'!$Y20+CI19</f>
        <v>86639743.937014908</v>
      </c>
    </row>
    <row r="20" spans="1:91">
      <c r="A20" s="9">
        <v>19</v>
      </c>
      <c r="B20" s="1" t="s">
        <v>403</v>
      </c>
      <c r="C20" s="1" t="s">
        <v>404</v>
      </c>
      <c r="D20" s="78">
        <f>'FIM interventions data'!E21*'Assumptions data'!L21*'Local food sourcing'!I20</f>
        <v>15788198.435127951</v>
      </c>
      <c r="E20" s="118">
        <f>'FIM interventions data'!G21*'Assumptions data'!N21*'Local food sourcing'!I20</f>
        <v>36451396.572914727</v>
      </c>
      <c r="F20" s="118">
        <f>'FIM interventions data'!I21*'Assumptions data'!$R20*'Local food sourcing'!$K20</f>
        <v>2256450.6487231669</v>
      </c>
      <c r="G20" s="178">
        <f>'FIM interventions data'!K21*'Assumptions data'!$P20*'Local food sourcing'!$L20</f>
        <v>27175556.420421362</v>
      </c>
      <c r="H20" s="247">
        <f>'FIM interventions data'!L21*'Assumptions data'!$L21*'Local food sourcing'!$I20</f>
        <v>2542890.0308841164</v>
      </c>
      <c r="I20" s="234">
        <f>'FIM interventions data'!M21*'Assumptions data'!$N21*'Local food sourcing'!$I20</f>
        <v>5870960.726642089</v>
      </c>
      <c r="J20" s="234">
        <f>'FIM interventions data'!N21*'Assumptions data'!$R20*'Local food sourcing'!$K20</f>
        <v>363430.05716558412</v>
      </c>
      <c r="K20" s="235">
        <f>'FIM interventions data'!O21*'Assumptions data'!$P20*'Local food sourcing'!$L20</f>
        <v>4376968.7712731278</v>
      </c>
      <c r="L20" s="247">
        <f>'FIM interventions data'!P21*'Assumptions data'!$L21*'Local food sourcing'!$I20</f>
        <v>2385472.4244505721</v>
      </c>
      <c r="M20" s="234">
        <f>'FIM interventions data'!Q21*'Assumptions data'!$N21*'Local food sourcing'!$I20</f>
        <v>5507518.9050026322</v>
      </c>
      <c r="N20" s="234">
        <f>'FIM interventions data'!R21*'Assumptions data'!$R20*'Local food sourcing'!$K20</f>
        <v>340931.91960942664</v>
      </c>
      <c r="O20" s="235">
        <f>'FIM interventions data'!S21*'Assumptions data'!$P20*'Local food sourcing'!$L20</f>
        <v>4106012.5210853736</v>
      </c>
      <c r="P20" s="247">
        <f>'FIM interventions data'!T21*'Assumptions data'!$L21*'Local food sourcing'!$I20</f>
        <v>6979558.9332773285</v>
      </c>
      <c r="Q20" s="234">
        <f>'FIM interventions data'!U21*'Assumptions data'!$N21*'Local food sourcing'!$I20</f>
        <v>16114230.615119556</v>
      </c>
      <c r="R20" s="234">
        <f>'FIM interventions data'!V21*'Assumptions data'!$R20*'Local food sourcing'!$K20</f>
        <v>997519.14998448419</v>
      </c>
      <c r="S20" s="235">
        <f>'FIM interventions data'!W21*'Assumptions data'!$P20*'Local food sourcing'!$L20</f>
        <v>12013618.802695064</v>
      </c>
      <c r="T20" s="247">
        <f>'FIM interventions data'!X21*'Assumptions data'!$L21*'Local food sourcing'!$I20</f>
        <v>30132.679738845924</v>
      </c>
      <c r="U20" s="234">
        <f>'FIM interventions data'!Y21*'Assumptions data'!$N21*'Local food sourcing'!$I20</f>
        <v>69569.575241812825</v>
      </c>
      <c r="V20" s="234">
        <f>'FIM interventions data'!Z21*'Assumptions data'!$R20*'Local food sourcing'!$K20</f>
        <v>4306.565123554914</v>
      </c>
      <c r="W20" s="235">
        <f>'FIM interventions data'!AA21*'Assumptions data'!$P20*'Local food sourcing'!$L20</f>
        <v>51866.103767706962</v>
      </c>
      <c r="X20" s="118">
        <f>'FIM interventions data'!E21*'Assumptions data'!S21+D20</f>
        <v>201102177.56744227</v>
      </c>
      <c r="Y20" s="118">
        <f>'FIM interventions data'!G21*'Assumptions data'!T21+E20</f>
        <v>250603351.43878877</v>
      </c>
      <c r="Z20" s="118">
        <f>'FIM interventions data'!I21*'Assumptions data'!U20+F20</f>
        <v>162088371.59994748</v>
      </c>
      <c r="AA20" s="178">
        <f>'FIM interventions data'!K21*'Assumptions data'!$V21+G20</f>
        <v>186831950.39039686</v>
      </c>
      <c r="AB20" s="234">
        <f>'FIM interventions data'!L21*'Assumptions data'!$S21+H20</f>
        <v>32390061.768386431</v>
      </c>
      <c r="AC20" s="234">
        <f>'FIM interventions data'!M21*'Assumptions data'!$T21+I20</f>
        <v>40362854.995664366</v>
      </c>
      <c r="AD20" s="234">
        <f>'FIM interventions data'!N21*'Assumptions data'!$U20+J20</f>
        <v>26106392.439727791</v>
      </c>
      <c r="AE20" s="235">
        <f>'FIM interventions data'!O21*'Assumptions data'!$V21+K20</f>
        <v>30091660.302502759</v>
      </c>
      <c r="AF20" s="234">
        <f>'FIM interventions data'!P21*'Assumptions data'!$S21+L20</f>
        <v>30384955.006439164</v>
      </c>
      <c r="AG20" s="234">
        <f>'FIM interventions data'!Q21*'Assumptions data'!$T21+M20</f>
        <v>37864192.471893102</v>
      </c>
      <c r="AH20" s="234">
        <f>'FIM interventions data'!R21*'Assumptions data'!$U20+N20</f>
        <v>24490276.225277148</v>
      </c>
      <c r="AI20" s="235">
        <f>'FIM interventions data'!S21*'Assumptions data'!$V21+O20</f>
        <v>28228836.082461946</v>
      </c>
      <c r="AJ20" s="234">
        <f>'FIM interventions data'!T21*'Assumptions data'!$S21+P20</f>
        <v>88902131.912619963</v>
      </c>
      <c r="AK20" s="234">
        <f>'FIM interventions data'!U21*'Assumptions data'!$T21+Q20</f>
        <v>110785335.47894697</v>
      </c>
      <c r="AL20" s="234">
        <f>'FIM interventions data'!V21*'Assumptions data'!$U20+R20</f>
        <v>71655125.607218772</v>
      </c>
      <c r="AM20" s="235">
        <f>'FIM interventions data'!W21*'Assumptions data'!$V21+S20</f>
        <v>82593629.268528566</v>
      </c>
      <c r="AN20" s="234">
        <f>'FIM interventions data'!X21*'Assumptions data'!$S21+T20</f>
        <v>383815.0081735499</v>
      </c>
      <c r="AO20" s="234">
        <f>'FIM interventions data'!Y21*'Assumptions data'!$T21+U20</f>
        <v>478290.82978746318</v>
      </c>
      <c r="AP20" s="234">
        <f>'FIM interventions data'!Z21*'Assumptions data'!$U20+V20</f>
        <v>309354.92804202792</v>
      </c>
      <c r="AQ20" s="235">
        <f>'FIM interventions data'!AA21*'Assumptions data'!$V21+W20</f>
        <v>356579.46340298536</v>
      </c>
      <c r="AR20" s="118">
        <f>'FIM interventions data'!AB21*'Assumptions data'!$L21*'Local food sourcing'!$I20</f>
        <v>4263521.8591352236</v>
      </c>
      <c r="AS20" s="118">
        <f>'FIM interventions data'!AC21*'Assumptions data'!$N21*'Local food sourcing'!$I20</f>
        <v>9843512.3375980798</v>
      </c>
      <c r="AT20" s="118">
        <f>'FIM interventions data'!AD21*'Assumptions data'!$R20*'Local food sourcing'!$K20</f>
        <v>609342.90282836265</v>
      </c>
      <c r="AU20" s="178">
        <f>'FIM interventions data'!AE21*'Assumptions data'!$P20*'Local food sourcing'!$L20</f>
        <v>7338619.3686822671</v>
      </c>
      <c r="AV20" s="234">
        <f>'FIM interventions data'!AF21*'Assumptions data'!$L21*'Local food sourcing'!$I20</f>
        <v>3374777.1816540346</v>
      </c>
      <c r="AW20" s="234">
        <f>'FIM interventions data'!AG21*'Assumptions data'!$N21*'Local food sourcing'!$I20</f>
        <v>7791600.9162889514</v>
      </c>
      <c r="AX20" s="234">
        <f>'FIM interventions data'!AH21*'Assumptions data'!$R20*'Local food sourcing'!$K20</f>
        <v>482323.43874626956</v>
      </c>
      <c r="AY20" s="235">
        <f>'FIM interventions data'!AI21*'Assumptions data'!$P20*'Local food sourcing'!$L20</f>
        <v>5808860.8452207213</v>
      </c>
      <c r="AZ20" s="234">
        <f>'FIM interventions data'!AJ21*'Assumptions data'!$L21*'Local food sourcing'!$I20</f>
        <v>1390049.4498567579</v>
      </c>
      <c r="BA20" s="234">
        <f>'FIM interventions data'!AK21*'Assumptions data'!$N21*'Local food sourcing'!$I20</f>
        <v>3209311.3068527244</v>
      </c>
      <c r="BB20" s="234">
        <f>'FIM interventions data'!AL21*'Assumptions data'!$R20*'Local food sourcing'!$K20</f>
        <v>198665.98432838498</v>
      </c>
      <c r="BC20" s="235">
        <f>'FIM interventions data'!AM21*'Assumptions data'!$P20*'Local food sourcing'!$L20</f>
        <v>2392633.168817393</v>
      </c>
      <c r="BD20" s="234">
        <f>'FIM interventions data'!AN21*'Assumptions data'!$L21*'Local food sourcing'!$I20</f>
        <v>929832.74705702718</v>
      </c>
      <c r="BE20" s="234">
        <f>'FIM interventions data'!AO21*'Assumptions data'!$N21*'Local food sourcing'!$I20</f>
        <v>2146774.5258411891</v>
      </c>
      <c r="BF20" s="234">
        <f>'FIM interventions data'!AP21*'Assumptions data'!$R20*'Local food sourcing'!$K20</f>
        <v>132891.77444290652</v>
      </c>
      <c r="BG20" s="235">
        <f>'FIM interventions data'!AQ21*'Assumptions data'!$P20*'Local food sourcing'!$L20</f>
        <v>1600481.6751594653</v>
      </c>
      <c r="BH20" s="234">
        <f>'FIM interventions data'!AR21*'Assumptions data'!$L21*'Local food sourcing'!$I20</f>
        <v>49093.646285705872</v>
      </c>
      <c r="BI20" s="234">
        <f>'FIM interventions data'!AS21*'Assumptions data'!$N21*'Local food sourcing'!$I20</f>
        <v>113346.17925684588</v>
      </c>
      <c r="BJ20" s="234">
        <f>'FIM interventions data'!AT21*'Assumptions data'!$R20*'Local food sourcing'!$K20</f>
        <v>7016.468057754616</v>
      </c>
      <c r="BK20" s="235">
        <f>'FIM interventions data'!AU21*'Assumptions data'!$P20*'Local food sourcing'!$L20</f>
        <v>84502.811388093454</v>
      </c>
      <c r="BL20" s="118">
        <f>'FIM interventions data'!AB21*'Assumptions data'!$S21*'Assumptions data'!$W21+AR20</f>
        <v>41795837.725334994</v>
      </c>
      <c r="BM20" s="118">
        <f>'FIM interventions data'!AC21*'Assumptions data'!$T21*'Assumptions data'!$X21+AS20</f>
        <v>38758829.829292439</v>
      </c>
      <c r="BN20" s="234">
        <f>'FIM interventions data'!AD21*'Assumptions data'!$U20*'Assumptions data'!$Z21+AT20</f>
        <v>2767432.3503454803</v>
      </c>
      <c r="BO20" s="235">
        <f>'FIM interventions data'!AE21*'Assumptions data'!$V21*'Assumptions data'!$Y21+AU20</f>
        <v>28895813.764186427</v>
      </c>
      <c r="BP20" s="234">
        <f>'FIM interventions data'!AF21*'Assumptions data'!$S21*'Assumptions data'!$W21+AV20</f>
        <v>33083362.558902211</v>
      </c>
      <c r="BQ20" s="234">
        <f>'FIM interventions data'!AG21*'Assumptions data'!$T21*'Assumptions data'!$X21+AW20</f>
        <v>30679428.607887745</v>
      </c>
      <c r="BR20" s="234">
        <f>'FIM interventions data'!AH21*'Assumptions data'!$U20*'Assumptions data'!$Z21+AX20</f>
        <v>2190552.2843059744</v>
      </c>
      <c r="BS20" s="235">
        <f>'FIM interventions data'!AI21*'Assumptions data'!$V21*'Assumptions data'!$Y21+AY20</f>
        <v>22872389.578056592</v>
      </c>
      <c r="BT20" s="234">
        <f>'FIM interventions data'!AJ21*'Assumptions data'!$S21*'Assumptions data'!$W21+AZ20</f>
        <v>13626828.513127029</v>
      </c>
      <c r="BU20" s="234">
        <f>'FIM interventions data'!AK21*'Assumptions data'!$T21*'Assumptions data'!$X21+BA20</f>
        <v>12636663.270732604</v>
      </c>
      <c r="BV20" s="234">
        <f>'FIM interventions data'!AL21*'Assumptions data'!$U20*'Assumptions data'!$Z21+BB20</f>
        <v>902274.67882474838</v>
      </c>
      <c r="BW20" s="235">
        <f>'FIM interventions data'!AM21*'Assumptions data'!$V21*'Assumptions data'!$Y21+BC20</f>
        <v>9420993.1022184845</v>
      </c>
      <c r="BX20" s="234">
        <f>'FIM interventions data'!AN21*'Assumptions data'!$S21*'Assumptions data'!$W21+BD20</f>
        <v>9115266.6484934203</v>
      </c>
      <c r="BY20" s="234">
        <f>'FIM interventions data'!AO21*'Assumptions data'!$T21*'Assumptions data'!$X21+BE20</f>
        <v>8452924.6954996828</v>
      </c>
      <c r="BZ20" s="234">
        <f>'FIM interventions data'!AP21*'Assumptions data'!$U20*'Assumptions data'!$Z21+BF20</f>
        <v>603550.14226153377</v>
      </c>
      <c r="CA20" s="235">
        <f>'FIM interventions data'!AQ21*'Assumptions data'!$V21*'Assumptions data'!$Y21+BG20</f>
        <v>6301896.5959403953</v>
      </c>
      <c r="CB20" s="234">
        <f>'FIM interventions data'!AR21*'Assumptions data'!$S21*'Assumptions data'!$W21+BH20</f>
        <v>481271.15124456031</v>
      </c>
      <c r="CC20" s="234">
        <f>'FIM interventions data'!AS21*'Assumptions data'!$T21*'Assumptions data'!$X21+BI20</f>
        <v>446300.58082383068</v>
      </c>
      <c r="CD20" s="234">
        <f>'FIM interventions data'!AT21*'Assumptions data'!$U20*'Assumptions data'!$Z21+BJ20</f>
        <v>31866.45909563555</v>
      </c>
      <c r="CE20" s="234">
        <f>'FIM interventions data'!AU21*'Assumptions data'!$V21*'Assumptions data'!$Y21+BK20</f>
        <v>332729.81984061794</v>
      </c>
      <c r="CF20" s="247">
        <f>'FIM interventions data'!AV21*'Assumptions data'!$L21*'Local food sourcing'!$I20</f>
        <v>3010756.9172396855</v>
      </c>
      <c r="CG20" s="234">
        <f>'FIM interventions data'!AW21*'Assumptions data'!$N21*'Local food sourcing'!$I20</f>
        <v>6951160.0595777892</v>
      </c>
      <c r="CH20" s="234">
        <f>'FIM interventions data'!AX21*'Assumptions data'!$R20*'Local food sourcing'!$K20</f>
        <v>430297.63192852796</v>
      </c>
      <c r="CI20" s="234">
        <f>'FIM interventions data'!AY21*'Assumptions data'!$P20*'Local food sourcing'!$L20</f>
        <v>5182288.2014567154</v>
      </c>
      <c r="CJ20" s="247">
        <f>'FIM interventions data'!AV21*'Assumptions data'!$S21*'Assumptions data'!$W21+CF20</f>
        <v>29514826.404315289</v>
      </c>
      <c r="CK20" s="234">
        <f>'FIM interventions data'!AW21*'Assumptions data'!$T21*'Assumptions data'!$X21+CG20</f>
        <v>27370192.734587546</v>
      </c>
      <c r="CL20" s="234">
        <f>'FIM interventions data'!AX21*'Assumptions data'!$U20*'Assumptions data'!$Z21+CH20</f>
        <v>1954268.411675398</v>
      </c>
      <c r="CM20" s="235">
        <f>'FIM interventions data'!AY21*'Assumptions data'!$V21*'Assumptions data'!$Y21+CI20</f>
        <v>20405259.79323582</v>
      </c>
    </row>
    <row r="21" spans="1:91">
      <c r="A21" s="9">
        <v>20</v>
      </c>
      <c r="B21" s="1" t="s">
        <v>408</v>
      </c>
      <c r="C21" s="1" t="s">
        <v>409</v>
      </c>
      <c r="D21" s="78">
        <f>'FIM interventions data'!E22*'Assumptions data'!L22*'Local food sourcing'!I21</f>
        <v>28059030.247603178</v>
      </c>
      <c r="E21" s="118">
        <f>'FIM interventions data'!G22*'Assumptions data'!N22*'Local food sourcing'!I21</f>
        <v>64781985.304360926</v>
      </c>
      <c r="F21" s="118">
        <f>'FIM interventions data'!I22*'Assumptions data'!$R21*'Local food sourcing'!$K21</f>
        <v>4010198.9637954552</v>
      </c>
      <c r="G21" s="178">
        <f>'FIM interventions data'!K22*'Assumptions data'!$P21*'Local food sourcing'!$L21</f>
        <v>48296818.837764382</v>
      </c>
      <c r="H21" s="247">
        <f>'FIM interventions data'!L22*'Assumptions data'!$L22*'Local food sourcing'!$I21</f>
        <v>5984772.6534785274</v>
      </c>
      <c r="I21" s="234">
        <f>'FIM interventions data'!M22*'Assumptions data'!$N22*'Local food sourcing'!$I21</f>
        <v>13817493.00194383</v>
      </c>
      <c r="J21" s="234">
        <f>'FIM interventions data'!N22*'Assumptions data'!$R21*'Local food sourcing'!$K21</f>
        <v>855344.21117711579</v>
      </c>
      <c r="K21" s="235">
        <f>'FIM interventions data'!O22*'Assumptions data'!$P21*'Local food sourcing'!$L21</f>
        <v>10301335.366176788</v>
      </c>
      <c r="L21" s="247">
        <f>'FIM interventions data'!P22*'Assumptions data'!$L22*'Local food sourcing'!$I21</f>
        <v>5169062.0874619707</v>
      </c>
      <c r="M21" s="234">
        <f>'FIM interventions data'!Q22*'Assumptions data'!$N22*'Local food sourcing'!$I21</f>
        <v>11934200.905460542</v>
      </c>
      <c r="N21" s="234">
        <f>'FIM interventions data'!R22*'Assumptions data'!$R21*'Local food sourcing'!$K21</f>
        <v>738762.78845043306</v>
      </c>
      <c r="O21" s="235">
        <f>'FIM interventions data'!S22*'Assumptions data'!$P21*'Local food sourcing'!$L21</f>
        <v>8897287.3615485039</v>
      </c>
      <c r="P21" s="247">
        <f>'FIM interventions data'!T22*'Assumptions data'!$L22*'Local food sourcing'!$I21</f>
        <v>17944269.419812679</v>
      </c>
      <c r="Q21" s="234">
        <f>'FIM interventions data'!U22*'Assumptions data'!$N22*'Local food sourcing'!$I21</f>
        <v>41429279.187262602</v>
      </c>
      <c r="R21" s="234">
        <f>'FIM interventions data'!V22*'Assumptions data'!$R21*'Local food sourcing'!$K21</f>
        <v>2564596.4952600654</v>
      </c>
      <c r="S21" s="235">
        <f>'FIM interventions data'!W22*'Assumptions data'!$P21*'Local food sourcing'!$L21</f>
        <v>30886709.971694704</v>
      </c>
      <c r="T21" s="247">
        <f>'FIM interventions data'!X22*'Assumptions data'!$L22*'Local food sourcing'!$I21</f>
        <v>538697.4076382796</v>
      </c>
      <c r="U21" s="234">
        <f>'FIM interventions data'!Y22*'Assumptions data'!$N22*'Local food sourcing'!$I21</f>
        <v>1243731.0640164181</v>
      </c>
      <c r="V21" s="234">
        <f>'FIM interventions data'!Z22*'Assumptions data'!$R21*'Local food sourcing'!$K21</f>
        <v>76990.678824150018</v>
      </c>
      <c r="W21" s="235">
        <f>'FIM interventions data'!AA22*'Assumptions data'!$P21*'Local food sourcing'!$L21</f>
        <v>927237.00268656714</v>
      </c>
      <c r="X21" s="118">
        <f>'FIM interventions data'!E22*'Assumptions data'!S22+D21</f>
        <v>686744765.3100878</v>
      </c>
      <c r="Y21" s="118">
        <f>'FIM interventions data'!G22*'Assumptions data'!T22+E21</f>
        <v>825970312.63060188</v>
      </c>
      <c r="Z21" s="118">
        <f>'FIM interventions data'!I22*'Assumptions data'!U21+F21</f>
        <v>572121718.83481824</v>
      </c>
      <c r="AA21" s="178">
        <f>'FIM interventions data'!K22*'Assumptions data'!$V22+G21</f>
        <v>615784440.1814959</v>
      </c>
      <c r="AB21" s="234">
        <f>'FIM interventions data'!L22*'Assumptions data'!$S22+H21</f>
        <v>146477310.69388697</v>
      </c>
      <c r="AC21" s="234">
        <f>'FIM interventions data'!M22*'Assumptions data'!$T22+I21</f>
        <v>176173035.77478385</v>
      </c>
      <c r="AD21" s="234">
        <f>'FIM interventions data'!N22*'Assumptions data'!$U21+J21</f>
        <v>122029107.4612685</v>
      </c>
      <c r="AE21" s="235">
        <f>'FIM interventions data'!O22*'Assumptions data'!$V22+K21</f>
        <v>131342025.91875406</v>
      </c>
      <c r="AF21" s="234">
        <f>'FIM interventions data'!P22*'Assumptions data'!$S22+L21</f>
        <v>126512794.59063172</v>
      </c>
      <c r="AG21" s="234">
        <f>'FIM interventions data'!Q22*'Assumptions data'!$T22+M21</f>
        <v>152161061.54462191</v>
      </c>
      <c r="AH21" s="234">
        <f>'FIM interventions data'!R22*'Assumptions data'!$U21+N21</f>
        <v>105396824.48559512</v>
      </c>
      <c r="AI21" s="235">
        <f>'FIM interventions data'!S22*'Assumptions data'!$V22+O21</f>
        <v>113440413.85974345</v>
      </c>
      <c r="AJ21" s="234">
        <f>'FIM interventions data'!T22*'Assumptions data'!$S22+P21</f>
        <v>439185994.04991537</v>
      </c>
      <c r="AK21" s="234">
        <f>'FIM interventions data'!U22*'Assumptions data'!$T22+Q21</f>
        <v>528223309.63759822</v>
      </c>
      <c r="AL21" s="234">
        <f>'FIM interventions data'!V22*'Assumptions data'!$U21+R21</f>
        <v>365882433.32376933</v>
      </c>
      <c r="AM21" s="235">
        <f>'FIM interventions data'!W22*'Assumptions data'!$V22+S21</f>
        <v>393805552.13910753</v>
      </c>
      <c r="AN21" s="234">
        <f>'FIM interventions data'!X22*'Assumptions data'!$S22+T21</f>
        <v>13184619.051946893</v>
      </c>
      <c r="AO21" s="234">
        <f>'FIM interventions data'!Y22*'Assumptions data'!$T22+U21</f>
        <v>15857571.066209331</v>
      </c>
      <c r="AP21" s="234">
        <f>'FIM interventions data'!Z22*'Assumptions data'!$U21+V21</f>
        <v>10984003.512245404</v>
      </c>
      <c r="AQ21" s="235">
        <f>'FIM interventions data'!AA22*'Assumptions data'!$V22+W21</f>
        <v>11822271.784253731</v>
      </c>
      <c r="AR21" s="118">
        <f>'FIM interventions data'!AB22*'Assumptions data'!$L22*'Local food sourcing'!$I21</f>
        <v>5383864.233048833</v>
      </c>
      <c r="AS21" s="118">
        <f>'FIM interventions data'!AC22*'Assumptions data'!$N22*'Local food sourcing'!$I21</f>
        <v>12430130.711870797</v>
      </c>
      <c r="AT21" s="118">
        <f>'FIM interventions data'!AD22*'Assumptions data'!$R21*'Local food sourcing'!$K21</f>
        <v>769462.32917055662</v>
      </c>
      <c r="AU21" s="178">
        <f>'FIM interventions data'!AE22*'Assumptions data'!$P21*'Local food sourcing'!$L21</f>
        <v>9267017.1854171678</v>
      </c>
      <c r="AV21" s="234">
        <f>'FIM interventions data'!AF22*'Assumptions data'!$L22*'Local food sourcing'!$I21</f>
        <v>4764937.2771651447</v>
      </c>
      <c r="AW21" s="234">
        <f>'FIM interventions data'!AG22*'Assumptions data'!$N22*'Local food sourcing'!$I21</f>
        <v>11001167.679053405</v>
      </c>
      <c r="AX21" s="234">
        <f>'FIM interventions data'!AH22*'Assumptions data'!$R21*'Local food sourcing'!$K21</f>
        <v>681005.23656088393</v>
      </c>
      <c r="AY21" s="235">
        <f>'FIM interventions data'!AI22*'Assumptions data'!$P21*'Local food sourcing'!$L21</f>
        <v>8201684.4637106881</v>
      </c>
      <c r="AZ21" s="234">
        <f>'FIM interventions data'!AJ22*'Assumptions data'!$L22*'Local food sourcing'!$I21</f>
        <v>1363176.3175944136</v>
      </c>
      <c r="BA21" s="234">
        <f>'FIM interventions data'!AK22*'Assumptions data'!$N22*'Local food sourcing'!$I21</f>
        <v>3147267.2930739503</v>
      </c>
      <c r="BB21" s="234">
        <f>'FIM interventions data'!AL22*'Assumptions data'!$R21*'Local food sourcing'!$K21</f>
        <v>194825.27400442088</v>
      </c>
      <c r="BC21" s="235">
        <f>'FIM interventions data'!AM22*'Assumptions data'!$P21*'Local food sourcing'!$L21</f>
        <v>2346377.5858900896</v>
      </c>
      <c r="BD21" s="234">
        <f>'FIM interventions data'!AN22*'Assumptions data'!$L22*'Local food sourcing'!$I21</f>
        <v>1226577.4222694584</v>
      </c>
      <c r="BE21" s="234">
        <f>'FIM interventions data'!AO22*'Assumptions data'!$N22*'Local food sourcing'!$I21</f>
        <v>2831891.189500696</v>
      </c>
      <c r="BF21" s="234">
        <f>'FIM interventions data'!AP22*'Assumptions data'!$R21*'Local food sourcing'!$K21</f>
        <v>175302.54839153081</v>
      </c>
      <c r="BG21" s="235">
        <f>'FIM interventions data'!AQ22*'Assumptions data'!$P21*'Local food sourcing'!$L21</f>
        <v>2111255.7002535881</v>
      </c>
      <c r="BH21" s="234">
        <f>'FIM interventions data'!AR22*'Assumptions data'!$L22*'Local food sourcing'!$I21</f>
        <v>77278.617236885853</v>
      </c>
      <c r="BI21" s="234">
        <f>'FIM interventions data'!AS22*'Assumptions data'!$N22*'Local food sourcing'!$I21</f>
        <v>178418.93329898349</v>
      </c>
      <c r="BJ21" s="234">
        <f>'FIM interventions data'!AT22*'Assumptions data'!$R21*'Local food sourcing'!$K21</f>
        <v>11044.666477501563</v>
      </c>
      <c r="BK21" s="235">
        <f>'FIM interventions data'!AU22*'Assumptions data'!$P21*'Local food sourcing'!$L21</f>
        <v>133016.40661803083</v>
      </c>
      <c r="BL21" s="118">
        <f>'FIM interventions data'!AB22*'Assumptions data'!$S22*'Assumptions data'!$W22+AR21</f>
        <v>100173523.88616484</v>
      </c>
      <c r="BM21" s="118">
        <f>'FIM interventions data'!AC22*'Assumptions data'!$T22*'Assumptions data'!$X22+AS21</f>
        <v>85457148.644111753</v>
      </c>
      <c r="BN21" s="234">
        <f>'FIM interventions data'!AD22*'Assumptions data'!$U21*'Assumptions data'!$Z22+AT21</f>
        <v>6219820.4941286677</v>
      </c>
      <c r="BO21" s="235">
        <f>'FIM interventions data'!AE22*'Assumptions data'!$V22*'Assumptions data'!$Y22+AU21</f>
        <v>63710743.149743035</v>
      </c>
      <c r="BP21" s="234">
        <f>'FIM interventions data'!AF22*'Assumptions data'!$S22*'Assumptions data'!$W22+AV21</f>
        <v>88657614.213253975</v>
      </c>
      <c r="BQ21" s="234">
        <f>'FIM interventions data'!AG22*'Assumptions data'!$T22*'Assumptions data'!$X22+AW21</f>
        <v>75633027.793492168</v>
      </c>
      <c r="BR21" s="234">
        <f>'FIM interventions data'!AH22*'Assumptions data'!$U21*'Assumptions data'!$Z22+AX21</f>
        <v>5504792.3288671458</v>
      </c>
      <c r="BS21" s="235">
        <f>'FIM interventions data'!AI22*'Assumptions data'!$V22*'Assumptions data'!$Y22+AY21</f>
        <v>56386580.688010983</v>
      </c>
      <c r="BT21" s="234">
        <f>'FIM interventions data'!AJ22*'Assumptions data'!$S22*'Assumptions data'!$W22+AZ21</f>
        <v>25363599.359241057</v>
      </c>
      <c r="BU21" s="234">
        <f>'FIM interventions data'!AK22*'Assumptions data'!$T22*'Assumptions data'!$X22+BA21</f>
        <v>21637462.639883406</v>
      </c>
      <c r="BV21" s="234">
        <f>'FIM interventions data'!AL22*'Assumptions data'!$U21*'Assumptions data'!$Z22+BB21</f>
        <v>1574837.6315357354</v>
      </c>
      <c r="BW21" s="235">
        <f>'FIM interventions data'!AM22*'Assumptions data'!$V22*'Assumptions data'!$Y22+BC21</f>
        <v>16131345.902994366</v>
      </c>
      <c r="BX21" s="234">
        <f>'FIM interventions data'!AN22*'Assumptions data'!$S22*'Assumptions data'!$W22+BD21</f>
        <v>22822006.163101114</v>
      </c>
      <c r="BY21" s="234">
        <f>'FIM interventions data'!AO22*'Assumptions data'!$T22*'Assumptions data'!$X22+BE21</f>
        <v>19469251.927817285</v>
      </c>
      <c r="BZ21" s="234">
        <f>'FIM interventions data'!AP22*'Assumptions data'!$U21*'Assumptions data'!$Z22+BF21</f>
        <v>1417028.9328315409</v>
      </c>
      <c r="CA21" s="235">
        <f>'FIM interventions data'!AQ22*'Assumptions data'!$V22*'Assumptions data'!$Y22+BG21</f>
        <v>14514882.939243417</v>
      </c>
      <c r="CB21" s="234">
        <f>'FIM interventions data'!AR22*'Assumptions data'!$S22*'Assumptions data'!$W22+BH21</f>
        <v>1437865.2719638075</v>
      </c>
      <c r="CC21" s="234">
        <f>'FIM interventions data'!AS22*'Assumptions data'!$T22*'Assumptions data'!$X22+BI21</f>
        <v>1226630.1664305115</v>
      </c>
      <c r="CD21" s="234">
        <f>'FIM interventions data'!AT22*'Assumptions data'!$U21*'Assumptions data'!$Z22+BJ21</f>
        <v>89277.720693137642</v>
      </c>
      <c r="CE21" s="234">
        <f>'FIM interventions data'!AU22*'Assumptions data'!$V22*'Assumptions data'!$Y22+BK21</f>
        <v>914487.79549896216</v>
      </c>
      <c r="CF21" s="247">
        <f>'FIM interventions data'!AV22*'Assumptions data'!$L22*'Local food sourcing'!$I21</f>
        <v>6402803.4736435497</v>
      </c>
      <c r="CG21" s="234">
        <f>'FIM interventions data'!AW22*'Assumptions data'!$N22*'Local food sourcing'!$I21</f>
        <v>14782632.075166566</v>
      </c>
      <c r="CH21" s="234">
        <f>'FIM interventions data'!AX22*'Assumptions data'!$R21*'Local food sourcing'!$K21</f>
        <v>915089.21116704005</v>
      </c>
      <c r="CI21" s="234">
        <f>'FIM interventions data'!AY22*'Assumptions data'!$P21*'Local food sourcing'!$L21</f>
        <v>11020874.089074627</v>
      </c>
      <c r="CJ21" s="247">
        <f>'FIM interventions data'!AV22*'Assumptions data'!$S22*'Assumptions data'!$W22+CF21</f>
        <v>119132162.13148032</v>
      </c>
      <c r="CK21" s="234">
        <f>'FIM interventions data'!AW22*'Assumptions data'!$T22*'Assumptions data'!$X22+CG21</f>
        <v>101630595.51677015</v>
      </c>
      <c r="CL21" s="234">
        <f>'FIM interventions data'!AX22*'Assumptions data'!$U21*'Assumptions data'!$Z22+CH21</f>
        <v>7396971.1236002408</v>
      </c>
      <c r="CM21" s="235">
        <f>'FIM interventions data'!AY22*'Assumptions data'!$V22*'Assumptions data'!$Y22+CI21</f>
        <v>75768509.362388059</v>
      </c>
    </row>
    <row r="22" spans="1:91">
      <c r="A22" s="9">
        <v>21</v>
      </c>
      <c r="B22" s="1" t="s">
        <v>413</v>
      </c>
      <c r="C22" s="1" t="s">
        <v>414</v>
      </c>
      <c r="D22" s="78">
        <f>'FIM interventions data'!E23*'Assumptions data'!L23*'Local food sourcing'!I22</f>
        <v>30773046.654266682</v>
      </c>
      <c r="E22" s="118">
        <f>'FIM interventions data'!G23*'Assumptions data'!N23*'Local food sourcing'!I22</f>
        <v>71048038.315486953</v>
      </c>
      <c r="F22" s="118">
        <f>'FIM interventions data'!I23*'Assumptions data'!$R22*'Local food sourcing'!$K22</f>
        <v>4398086.416985523</v>
      </c>
      <c r="G22" s="178">
        <f>'FIM interventions data'!K23*'Assumptions data'!$P22*'Local food sourcing'!$L22</f>
        <v>52968340.182538733</v>
      </c>
      <c r="H22" s="247">
        <f>'FIM interventions data'!L23*'Assumptions data'!$L23*'Local food sourcing'!$I22</f>
        <v>11931360.180871204</v>
      </c>
      <c r="I22" s="234">
        <f>'FIM interventions data'!M23*'Assumptions data'!$N23*'Local food sourcing'!$I22</f>
        <v>27546825.142478343</v>
      </c>
      <c r="J22" s="234">
        <f>'FIM interventions data'!N23*'Assumptions data'!$R22*'Local food sourcing'!$K22</f>
        <v>1705231.0009212522</v>
      </c>
      <c r="K22" s="235">
        <f>'FIM interventions data'!O23*'Assumptions data'!$P22*'Local food sourcing'!$L22</f>
        <v>20536944.294176936</v>
      </c>
      <c r="L22" s="247">
        <f>'FIM interventions data'!P23*'Assumptions data'!$L23*'Local food sourcing'!$I22</f>
        <v>7058161.348956015</v>
      </c>
      <c r="M22" s="234">
        <f>'FIM interventions data'!Q23*'Assumptions data'!$N23*'Local food sourcing'!$I22</f>
        <v>16295705.901059596</v>
      </c>
      <c r="N22" s="234">
        <f>'FIM interventions data'!R23*'Assumptions data'!$R22*'Local food sourcing'!$K22</f>
        <v>1008753.0138466688</v>
      </c>
      <c r="O22" s="235">
        <f>'FIM interventions data'!S23*'Assumptions data'!$P22*'Local food sourcing'!$L22</f>
        <v>12148913.80743132</v>
      </c>
      <c r="P22" s="247">
        <f>'FIM interventions data'!T23*'Assumptions data'!$L23*'Local food sourcing'!$I22</f>
        <v>22487257.822063837</v>
      </c>
      <c r="Q22" s="234">
        <f>'FIM interventions data'!U23*'Assumptions data'!$N23*'Local food sourcing'!$I22</f>
        <v>51918016.870478034</v>
      </c>
      <c r="R22" s="234">
        <f>'FIM interventions data'!V23*'Assumptions data'!$R22*'Local food sourcing'!$K22</f>
        <v>3213880.7799440878</v>
      </c>
      <c r="S22" s="235">
        <f>'FIM interventions data'!W23*'Assumptions data'!$P22*'Local food sourcing'!$L22</f>
        <v>38706363.249424472</v>
      </c>
      <c r="T22" s="247">
        <f>'FIM interventions data'!X23*'Assumptions data'!$L23*'Local food sourcing'!$I22</f>
        <v>152931.44820311808</v>
      </c>
      <c r="U22" s="234">
        <f>'FIM interventions data'!Y23*'Assumptions data'!$N23*'Local food sourcing'!$I22</f>
        <v>353084.29203162895</v>
      </c>
      <c r="V22" s="234">
        <f>'FIM interventions data'!Z23*'Assumptions data'!$R22*'Local food sourcing'!$K22</f>
        <v>21856.975444412223</v>
      </c>
      <c r="W22" s="235">
        <f>'FIM interventions data'!AA23*'Assumptions data'!$P22*'Local food sourcing'!$L22</f>
        <v>263234.41627473448</v>
      </c>
      <c r="X22" s="118">
        <f>'FIM interventions data'!E23*'Assumptions data'!S23+D22</f>
        <v>753170316.86317706</v>
      </c>
      <c r="Y22" s="118">
        <f>'FIM interventions data'!G23*'Assumptions data'!T23+E22</f>
        <v>905862488.52245855</v>
      </c>
      <c r="Z22" s="118">
        <f>'FIM interventions data'!I23*'Assumptions data'!U22+F22</f>
        <v>627460328.82326794</v>
      </c>
      <c r="AA22" s="178">
        <f>'FIM interventions data'!K23*'Assumptions data'!$V23+G22</f>
        <v>675346337.32736897</v>
      </c>
      <c r="AB22" s="234">
        <f>'FIM interventions data'!L23*'Assumptions data'!$S23+H22</f>
        <v>292020040.42682266</v>
      </c>
      <c r="AC22" s="234">
        <f>'FIM interventions data'!M23*'Assumptions data'!$T23+I22</f>
        <v>351222020.56659889</v>
      </c>
      <c r="AD22" s="234">
        <f>'FIM interventions data'!N23*'Assumptions data'!$U22+J22</f>
        <v>243279622.79809862</v>
      </c>
      <c r="AE22" s="235">
        <f>'FIM interventions data'!O23*'Assumptions data'!$V23+K22</f>
        <v>261846039.75075597</v>
      </c>
      <c r="AF22" s="234">
        <f>'FIM interventions data'!P23*'Assumptions data'!$S23+L22</f>
        <v>172748499.01569846</v>
      </c>
      <c r="AG22" s="234">
        <f>'FIM interventions data'!Q23*'Assumptions data'!$T23+M22</f>
        <v>207770250.23850986</v>
      </c>
      <c r="AH22" s="234">
        <f>'FIM interventions data'!R23*'Assumptions data'!$U22+N22</f>
        <v>143915429.97545806</v>
      </c>
      <c r="AI22" s="235">
        <f>'FIM interventions data'!S23*'Assumptions data'!$V23+O22</f>
        <v>154898651.04474932</v>
      </c>
      <c r="AJ22" s="234">
        <f>'FIM interventions data'!T23*'Assumptions data'!$S23+P22</f>
        <v>550375635.19501245</v>
      </c>
      <c r="AK22" s="234">
        <f>'FIM interventions data'!U23*'Assumptions data'!$T23+Q22</f>
        <v>661954715.0985949</v>
      </c>
      <c r="AL22" s="234">
        <f>'FIM interventions data'!V23*'Assumptions data'!$U22+R22</f>
        <v>458513657.93868983</v>
      </c>
      <c r="AM22" s="235">
        <f>'FIM interventions data'!W23*'Assumptions data'!$V23+S22</f>
        <v>493506131.43016201</v>
      </c>
      <c r="AN22" s="234">
        <f>'FIM interventions data'!X23*'Assumptions data'!$S23+T22</f>
        <v>3742997.194771315</v>
      </c>
      <c r="AO22" s="234">
        <f>'FIM interventions data'!Y23*'Assumptions data'!$T23+U22</f>
        <v>4501824.7234032685</v>
      </c>
      <c r="AP22" s="234">
        <f>'FIM interventions data'!Z23*'Assumptions data'!$U22+V22</f>
        <v>3118261.8300694772</v>
      </c>
      <c r="AQ22" s="235">
        <f>'FIM interventions data'!AA23*'Assumptions data'!$V23+W22</f>
        <v>3356238.8075028649</v>
      </c>
      <c r="AR22" s="118">
        <f>'FIM interventions data'!AB23*'Assumptions data'!$L23*'Local food sourcing'!$I22</f>
        <v>5831688.6525302967</v>
      </c>
      <c r="AS22" s="118">
        <f>'FIM interventions data'!AC23*'Assumptions data'!$N23*'Local food sourcing'!$I22</f>
        <v>13464056.499960363</v>
      </c>
      <c r="AT22" s="118">
        <f>'FIM interventions data'!AD23*'Assumptions data'!$R22*'Local food sourcing'!$K22</f>
        <v>833465.43288153666</v>
      </c>
      <c r="AU22" s="178">
        <f>'FIM interventions data'!AE23*'Assumptions data'!$P22*'Local food sourcing'!$L22</f>
        <v>10037838.367331346</v>
      </c>
      <c r="AV22" s="234">
        <f>'FIM interventions data'!AF23*'Assumptions data'!$L23*'Local food sourcing'!$I22</f>
        <v>5677981.0190268271</v>
      </c>
      <c r="AW22" s="234">
        <f>'FIM interventions data'!AG23*'Assumptions data'!$N23*'Local food sourcing'!$I22</f>
        <v>13109180.170774313</v>
      </c>
      <c r="AX22" s="234">
        <f>'FIM interventions data'!AH23*'Assumptions data'!$R22*'Local food sourcing'!$K22</f>
        <v>811497.52496869222</v>
      </c>
      <c r="AY22" s="235">
        <f>'FIM interventions data'!AI23*'Assumptions data'!$P22*'Local food sourcing'!$L22</f>
        <v>9773267.936215587</v>
      </c>
      <c r="AZ22" s="234">
        <f>'FIM interventions data'!AJ23*'Assumptions data'!$L23*'Local food sourcing'!$I22</f>
        <v>1124190.0631620258</v>
      </c>
      <c r="BA22" s="234">
        <f>'FIM interventions data'!AK23*'Assumptions data'!$N23*'Local food sourcing'!$I22</f>
        <v>2595501.8227079287</v>
      </c>
      <c r="BB22" s="234">
        <f>'FIM interventions data'!AL23*'Assumptions data'!$R22*'Local food sourcing'!$K22</f>
        <v>160669.33841331172</v>
      </c>
      <c r="BC22" s="235">
        <f>'FIM interventions data'!AM23*'Assumptions data'!$P22*'Local food sourcing'!$L22</f>
        <v>1935020.6810653822</v>
      </c>
      <c r="BD22" s="234">
        <f>'FIM interventions data'!AN23*'Assumptions data'!$L23*'Local food sourcing'!$I22</f>
        <v>1635134.0790974742</v>
      </c>
      <c r="BE22" s="234">
        <f>'FIM interventions data'!AO23*'Assumptions data'!$N23*'Local food sourcing'!$I22</f>
        <v>3775156.552026622</v>
      </c>
      <c r="BF22" s="234">
        <f>'FIM interventions data'!AP23*'Assumptions data'!$R22*'Local food sourcing'!$K22</f>
        <v>233693.50016020064</v>
      </c>
      <c r="BG22" s="235">
        <f>'FIM interventions data'!AQ23*'Assumptions data'!$P22*'Local food sourcing'!$L22</f>
        <v>2814486.9475797811</v>
      </c>
      <c r="BH22" s="234">
        <f>'FIM interventions data'!AR23*'Assumptions data'!$L23*'Local food sourcing'!$I22</f>
        <v>22611.042547794517</v>
      </c>
      <c r="BI22" s="234">
        <f>'FIM interventions data'!AS23*'Assumptions data'!$N23*'Local food sourcing'!$I22</f>
        <v>52203.807940676343</v>
      </c>
      <c r="BJ22" s="234">
        <f>'FIM interventions data'!AT23*'Assumptions data'!$R22*'Local food sourcing'!$K22</f>
        <v>3231.5721033604159</v>
      </c>
      <c r="BK22" s="235">
        <f>'FIM interventions data'!AU23*'Assumptions data'!$P22*'Local food sourcing'!$L22</f>
        <v>38919.428648361696</v>
      </c>
      <c r="BL22" s="118">
        <f>'FIM interventions data'!AB23*'Assumptions data'!$S23*'Assumptions data'!$W23+AR22</f>
        <v>108505856.99114184</v>
      </c>
      <c r="BM22" s="118">
        <f>'FIM interventions data'!AC23*'Assumptions data'!$T23*'Assumptions data'!$X23+AS22</f>
        <v>92565388.437227517</v>
      </c>
      <c r="BN22" s="234">
        <f>'FIM interventions data'!AD23*'Assumptions data'!$U22*'Assumptions data'!$Z23+AT22</f>
        <v>6737178.9157924214</v>
      </c>
      <c r="BO22" s="235">
        <f>'FIM interventions data'!AE23*'Assumptions data'!$V23*'Assumptions data'!$Y23+AU22</f>
        <v>69010138.775403023</v>
      </c>
      <c r="BP22" s="234">
        <f>'FIM interventions data'!AF23*'Assumptions data'!$S23*'Assumptions data'!$W23+AV22</f>
        <v>105645934.3352679</v>
      </c>
      <c r="BQ22" s="234">
        <f>'FIM interventions data'!AG23*'Assumptions data'!$T23*'Assumptions data'!$X23+AW22</f>
        <v>90125613.674073413</v>
      </c>
      <c r="BR22" s="234">
        <f>'FIM interventions data'!AH23*'Assumptions data'!$U22*'Assumptions data'!$Z23+AX22</f>
        <v>6559604.9934969293</v>
      </c>
      <c r="BS22" s="235">
        <f>'FIM interventions data'!AI23*'Assumptions data'!$V23*'Assumptions data'!$Y23+AY22</f>
        <v>67191217.061482161</v>
      </c>
      <c r="BT22" s="234">
        <f>'FIM interventions data'!AJ23*'Assumptions data'!$S23*'Assumptions data'!$W23+AZ22</f>
        <v>20916961.362708446</v>
      </c>
      <c r="BU22" s="234">
        <f>'FIM interventions data'!AK23*'Assumptions data'!$T23*'Assumptions data'!$X23+BA22</f>
        <v>17844075.031117011</v>
      </c>
      <c r="BV22" s="234">
        <f>'FIM interventions data'!AL23*'Assumptions data'!$U22*'Assumptions data'!$Z23+BB22</f>
        <v>1298743.8188409363</v>
      </c>
      <c r="BW22" s="235">
        <f>'FIM interventions data'!AM23*'Assumptions data'!$V23*'Assumptions data'!$Y23+BC22</f>
        <v>13303267.182324503</v>
      </c>
      <c r="BX22" s="234">
        <f>'FIM interventions data'!AN23*'Assumptions data'!$S23*'Assumptions data'!$W23+BD22</f>
        <v>30423713.459207386</v>
      </c>
      <c r="BY22" s="234">
        <f>'FIM interventions data'!AO23*'Assumptions data'!$T23*'Assumptions data'!$X23+BE22</f>
        <v>25954201.295183029</v>
      </c>
      <c r="BZ22" s="234">
        <f>'FIM interventions data'!AP23*'Assumptions data'!$U22*'Assumptions data'!$Z23+BF22</f>
        <v>1889022.4596282886</v>
      </c>
      <c r="CA22" s="235">
        <f>'FIM interventions data'!AQ23*'Assumptions data'!$V23*'Assumptions data'!$Y23+BG22</f>
        <v>19349597.764610995</v>
      </c>
      <c r="CB22" s="234">
        <f>'FIM interventions data'!AR23*'Assumptions data'!$S23*'Assumptions data'!$W23+BH22</f>
        <v>420706.71040490171</v>
      </c>
      <c r="CC22" s="234">
        <f>'FIM interventions data'!AS23*'Assumptions data'!$T23*'Assumptions data'!$X23+BI22</f>
        <v>358901.17959214986</v>
      </c>
      <c r="CD22" s="234">
        <f>'FIM interventions data'!AT23*'Assumptions data'!$U22*'Assumptions data'!$Z23+BJ22</f>
        <v>26121.874502163362</v>
      </c>
      <c r="CE22" s="234">
        <f>'FIM interventions data'!AU23*'Assumptions data'!$V23*'Assumptions data'!$Y23+BK22</f>
        <v>267571.07195748662</v>
      </c>
      <c r="CF22" s="247">
        <f>'FIM interventions data'!AV23*'Assumptions data'!$L23*'Local food sourcing'!$I22</f>
        <v>6523600.5776892062</v>
      </c>
      <c r="CG22" s="234">
        <f>'FIM interventions data'!AW23*'Assumptions data'!$N23*'Local food sourcing'!$I22</f>
        <v>15061525.399349196</v>
      </c>
      <c r="CH22" s="234">
        <f>'FIM interventions data'!AX23*'Assumptions data'!$R22*'Local food sourcing'!$K22</f>
        <v>932353.5434407742</v>
      </c>
      <c r="CI22" s="234">
        <f>'FIM interventions data'!AY23*'Assumptions data'!$P22*'Local food sourcing'!$L22</f>
        <v>11228797.021504479</v>
      </c>
      <c r="CJ22" s="247">
        <f>'FIM interventions data'!AV23*'Assumptions data'!$S23*'Assumptions data'!$W23+CF22</f>
        <v>121379743.24862978</v>
      </c>
      <c r="CK22" s="234">
        <f>'FIM interventions data'!AW23*'Assumptions data'!$T23*'Assumptions data'!$X23+CG22</f>
        <v>103547987.12052572</v>
      </c>
      <c r="CL22" s="234">
        <f>'FIM interventions data'!AX23*'Assumptions data'!$U22*'Assumptions data'!$Z23+CH22</f>
        <v>7536524.4761462584</v>
      </c>
      <c r="CM22" s="235">
        <f>'FIM interventions data'!AY23*'Assumptions data'!$V23*'Assumptions data'!$Y23+CI22</f>
        <v>77197979.522843301</v>
      </c>
    </row>
    <row r="23" spans="1:91">
      <c r="A23" s="9">
        <v>22</v>
      </c>
      <c r="B23" s="1" t="s">
        <v>418</v>
      </c>
      <c r="C23" s="1" t="s">
        <v>419</v>
      </c>
      <c r="D23" s="78">
        <f>'FIM interventions data'!E24*'Assumptions data'!L24*'Local food sourcing'!I23</f>
        <v>137390839.98760933</v>
      </c>
      <c r="E23" s="118">
        <f>'FIM interventions data'!G24*'Assumptions data'!N24*'Local food sourcing'!I23</f>
        <v>317204525.54811281</v>
      </c>
      <c r="F23" s="118">
        <f>'FIM interventions data'!I24*'Assumptions data'!$R23*'Local food sourcing'!$K23</f>
        <v>19635910.410708584</v>
      </c>
      <c r="G23" s="178">
        <f>'FIM interventions data'!K24*'Assumptions data'!$P23*'Local food sourcing'!$L23</f>
        <v>236485026.39953694</v>
      </c>
      <c r="H23" s="247">
        <f>'FIM interventions data'!L24*'Assumptions data'!$L24*'Local food sourcing'!$I23</f>
        <v>39159876.134782001</v>
      </c>
      <c r="I23" s="234">
        <f>'FIM interventions data'!M24*'Assumptions data'!$N24*'Local food sourcing'!$I23</f>
        <v>90411339.875181243</v>
      </c>
      <c r="J23" s="234">
        <f>'FIM interventions data'!N24*'Assumptions data'!$R23*'Local food sourcing'!$K23</f>
        <v>5596732.7919850536</v>
      </c>
      <c r="K23" s="235">
        <f>'FIM interventions data'!O24*'Assumptions data'!$P23*'Local food sourcing'!$L23</f>
        <v>67404234.098661169</v>
      </c>
      <c r="L23" s="247">
        <f>'FIM interventions data'!P24*'Assumptions data'!$L24*'Local food sourcing'!$I23</f>
        <v>30699925.879150309</v>
      </c>
      <c r="M23" s="234">
        <f>'FIM interventions data'!Q24*'Assumptions data'!$N24*'Local food sourcing'!$I23</f>
        <v>70879218.903795511</v>
      </c>
      <c r="N23" s="234">
        <f>'FIM interventions data'!R24*'Assumptions data'!$R23*'Local food sourcing'!$K23</f>
        <v>4387635.9896537131</v>
      </c>
      <c r="O23" s="235">
        <f>'FIM interventions data'!S24*'Assumptions data'!$P23*'Local food sourcing'!$L23</f>
        <v>52842480.493236959</v>
      </c>
      <c r="P23" s="247">
        <f>'FIM interventions data'!T24*'Assumptions data'!$L24*'Local food sourcing'!$I23</f>
        <v>78879733.506518632</v>
      </c>
      <c r="Q23" s="234">
        <f>'FIM interventions data'!U24*'Assumptions data'!$N24*'Local food sourcing'!$I23</f>
        <v>182115550.38569784</v>
      </c>
      <c r="R23" s="234">
        <f>'FIM interventions data'!V24*'Assumptions data'!$R23*'Local food sourcing'!$K23</f>
        <v>11273498.149470912</v>
      </c>
      <c r="S23" s="235">
        <f>'FIM interventions data'!W24*'Assumptions data'!$P23*'Local food sourcing'!$L23</f>
        <v>135772340.15280643</v>
      </c>
      <c r="T23" s="247">
        <f>'FIM interventions data'!X24*'Assumptions data'!$L24*'Local food sourcing'!$I23</f>
        <v>622983.86174275714</v>
      </c>
      <c r="U23" s="234">
        <f>'FIM interventions data'!Y24*'Assumptions data'!$N24*'Local food sourcing'!$I23</f>
        <v>1438329.5153160444</v>
      </c>
      <c r="V23" s="234">
        <f>'FIM interventions data'!Z24*'Assumptions data'!$R23*'Local food sourcing'!$K23</f>
        <v>89036.905936387528</v>
      </c>
      <c r="W23" s="235">
        <f>'FIM interventions data'!AA24*'Assumptions data'!$P23*'Local food sourcing'!$L23</f>
        <v>1072315.7017164177</v>
      </c>
      <c r="X23" s="118">
        <f>'FIM interventions data'!E24*'Assumptions data'!S24+D23</f>
        <v>1427490827.471261</v>
      </c>
      <c r="Y23" s="118">
        <f>'FIM interventions data'!G24*'Assumptions data'!T24+E23</f>
        <v>1808065795.6242433</v>
      </c>
      <c r="Z23" s="118">
        <f>'FIM interventions data'!I24*'Assumptions data'!U23+F23</f>
        <v>1132337500.3508615</v>
      </c>
      <c r="AA23" s="178">
        <f>'FIM interventions data'!K24*'Assumptions data'!$V24+G23</f>
        <v>1347964650.4773605</v>
      </c>
      <c r="AB23" s="234">
        <f>'FIM interventions data'!L24*'Assumptions data'!$S24+H23</f>
        <v>406871113.04038501</v>
      </c>
      <c r="AC23" s="234">
        <f>'FIM interventions data'!M24*'Assumptions data'!$T24+I23</f>
        <v>515344637.28853315</v>
      </c>
      <c r="AD23" s="234">
        <f>'FIM interventions data'!N24*'Assumptions data'!$U23+J23</f>
        <v>322744924.33780473</v>
      </c>
      <c r="AE23" s="235">
        <f>'FIM interventions data'!O24*'Assumptions data'!$V24+K23</f>
        <v>384204134.3623687</v>
      </c>
      <c r="AF23" s="234">
        <f>'FIM interventions data'!P24*'Assumptions data'!$S24+L23</f>
        <v>318972229.88437176</v>
      </c>
      <c r="AG23" s="234">
        <f>'FIM interventions data'!Q24*'Assumptions data'!$T24+M23</f>
        <v>404011547.75163448</v>
      </c>
      <c r="AH23" s="234">
        <f>'FIM interventions data'!R24*'Assumptions data'!$U23+N23</f>
        <v>253020342.07003078</v>
      </c>
      <c r="AI23" s="235">
        <f>'FIM interventions data'!S24*'Assumptions data'!$V24+O23</f>
        <v>301202138.81145072</v>
      </c>
      <c r="AJ23" s="234">
        <f>'FIM interventions data'!T24*'Assumptions data'!$S24+P23</f>
        <v>819560431.13272858</v>
      </c>
      <c r="AK23" s="234">
        <f>'FIM interventions data'!U24*'Assumptions data'!$T24+Q23</f>
        <v>1038058637.1984777</v>
      </c>
      <c r="AL23" s="234">
        <f>'FIM interventions data'!V24*'Assumptions data'!$U23+R23</f>
        <v>650105059.95282257</v>
      </c>
      <c r="AM23" s="235">
        <f>'FIM interventions data'!W24*'Assumptions data'!$V24+S23</f>
        <v>773902338.87099671</v>
      </c>
      <c r="AN23" s="234">
        <f>'FIM interventions data'!X24*'Assumptions data'!$S24+T23</f>
        <v>6472802.3235072475</v>
      </c>
      <c r="AO23" s="234">
        <f>'FIM interventions data'!Y24*'Assumptions data'!$T24+U23</f>
        <v>8198478.2373014539</v>
      </c>
      <c r="AP23" s="234">
        <f>'FIM interventions data'!Z24*'Assumptions data'!$U23+V23</f>
        <v>5134461.5756650129</v>
      </c>
      <c r="AQ23" s="235">
        <f>'FIM interventions data'!AA24*'Assumptions data'!$V24+W23</f>
        <v>6112199.4997835811</v>
      </c>
      <c r="AR23" s="118">
        <f>'FIM interventions data'!AB24*'Assumptions data'!$L24*'Local food sourcing'!$I23</f>
        <v>41157894.648195386</v>
      </c>
      <c r="AS23" s="118">
        <f>'FIM interventions data'!AC24*'Assumptions data'!$N24*'Local food sourcing'!$I23</f>
        <v>95024314.907874793</v>
      </c>
      <c r="AT23" s="118">
        <f>'FIM interventions data'!AD24*'Assumptions data'!$R23*'Local food sourcing'!$K23</f>
        <v>5882289.7660297593</v>
      </c>
      <c r="AU23" s="178">
        <f>'FIM interventions data'!AE24*'Assumptions data'!$P23*'Local food sourcing'!$L23</f>
        <v>70843338.633824781</v>
      </c>
      <c r="AV23" s="234">
        <f>'FIM interventions data'!AF24*'Assumptions data'!$L24*'Local food sourcing'!$I23</f>
        <v>30737925.158668265</v>
      </c>
      <c r="AW23" s="234">
        <f>'FIM interventions data'!AG24*'Assumptions data'!$N24*'Local food sourcing'!$I23</f>
        <v>70966950.687309965</v>
      </c>
      <c r="AX23" s="234">
        <f>'FIM interventions data'!AH24*'Assumptions data'!$R23*'Local food sourcing'!$K23</f>
        <v>4393066.8498795731</v>
      </c>
      <c r="AY23" s="235">
        <f>'FIM interventions data'!AI24*'Assumptions data'!$P23*'Local food sourcing'!$L23</f>
        <v>52907887.041597664</v>
      </c>
      <c r="AZ23" s="234">
        <f>'FIM interventions data'!AJ24*'Assumptions data'!$L24*'Local food sourcing'!$I23</f>
        <v>9814629.2898315564</v>
      </c>
      <c r="BA23" s="234">
        <f>'FIM interventions data'!AK24*'Assumptions data'!$N24*'Local food sourcing'!$I23</f>
        <v>22659769.949673492</v>
      </c>
      <c r="BB23" s="234">
        <f>'FIM interventions data'!AL24*'Assumptions data'!$R23*'Local food sourcing'!$K23</f>
        <v>1402707.643878073</v>
      </c>
      <c r="BC23" s="235">
        <f>'FIM interventions data'!AM24*'Assumptions data'!$P23*'Local food sourcing'!$L23</f>
        <v>16893505.177760068</v>
      </c>
      <c r="BD23" s="234">
        <f>'FIM interventions data'!AN24*'Assumptions data'!$L24*'Local food sourcing'!$I23</f>
        <v>10051925.976655029</v>
      </c>
      <c r="BE23" s="234">
        <f>'FIM interventions data'!AO24*'Assumptions data'!$N24*'Local food sourcing'!$I23</f>
        <v>23207634.588719066</v>
      </c>
      <c r="BF23" s="234">
        <f>'FIM interventions data'!AP24*'Assumptions data'!$R23*'Local food sourcing'!$K23</f>
        <v>1436622.1063243607</v>
      </c>
      <c r="BG23" s="235">
        <f>'FIM interventions data'!AQ24*'Assumptions data'!$P23*'Local food sourcing'!$L23</f>
        <v>17301953.901510742</v>
      </c>
      <c r="BH23" s="234">
        <f>'FIM interventions data'!AR24*'Assumptions data'!$L24*'Local food sourcing'!$I23</f>
        <v>192745.17576448378</v>
      </c>
      <c r="BI23" s="234">
        <f>'FIM interventions data'!AS24*'Assumptions data'!$N24*'Local food sourcing'!$I23</f>
        <v>445005.2276816605</v>
      </c>
      <c r="BJ23" s="234">
        <f>'FIM interventions data'!AT24*'Assumptions data'!$R23*'Local food sourcing'!$K23</f>
        <v>27547.156737297839</v>
      </c>
      <c r="BK23" s="235">
        <f>'FIM interventions data'!AU24*'Assumptions data'!$P23*'Local food sourcing'!$L23</f>
        <v>331764.09710544097</v>
      </c>
      <c r="BL23" s="118">
        <f>'FIM interventions data'!AB24*'Assumptions data'!$S24*'Assumptions data'!$W24+AR23</f>
        <v>331012367.70811141</v>
      </c>
      <c r="BM23" s="118">
        <f>'FIM interventions data'!AC24*'Assumptions data'!$T24*'Assumptions data'!$X24+AS23</f>
        <v>318331454.94138056</v>
      </c>
      <c r="BN23" s="234">
        <f>'FIM interventions data'!AD24*'Assumptions data'!$U23*'Assumptions data'!$Z24+AT23</f>
        <v>22548777.436447412</v>
      </c>
      <c r="BO23" s="235">
        <f>'FIM interventions data'!AE24*'Assumptions data'!$V24*'Assumptions data'!$Y24+AU23</f>
        <v>237325184.42331302</v>
      </c>
      <c r="BP23" s="234">
        <f>'FIM interventions data'!AF24*'Assumptions data'!$S24*'Assumptions data'!$W24+AV23</f>
        <v>247209763.08858955</v>
      </c>
      <c r="BQ23" s="234">
        <f>'FIM interventions data'!AG24*'Assumptions data'!$T24*'Assumptions data'!$X24+AW23</f>
        <v>237739284.80248839</v>
      </c>
      <c r="BR23" s="234">
        <f>'FIM interventions data'!AH24*'Assumptions data'!$U23*'Assumptions data'!$Z24+AX23</f>
        <v>16840089.591205031</v>
      </c>
      <c r="BS23" s="235">
        <f>'FIM interventions data'!AI24*'Assumptions data'!$V24*'Assumptions data'!$Y24+AY23</f>
        <v>177241421.58935219</v>
      </c>
      <c r="BT23" s="234">
        <f>'FIM interventions data'!AJ24*'Assumptions data'!$S24*'Assumptions data'!$W24+AZ23</f>
        <v>78934156.063470274</v>
      </c>
      <c r="BU23" s="234">
        <f>'FIM interventions data'!AK24*'Assumptions data'!$T24*'Assumptions data'!$X24+BA23</f>
        <v>75910229.331406206</v>
      </c>
      <c r="BV23" s="234">
        <f>'FIM interventions data'!AL24*'Assumptions data'!$U23*'Assumptions data'!$Z24+BB23</f>
        <v>5377045.9681992792</v>
      </c>
      <c r="BW23" s="235">
        <f>'FIM interventions data'!AM24*'Assumptions data'!$V24*'Assumptions data'!$Y24+BC23</f>
        <v>56593242.345496237</v>
      </c>
      <c r="BX23" s="234">
        <f>'FIM interventions data'!AN24*'Assumptions data'!$S24*'Assumptions data'!$W24+BD23</f>
        <v>80842614.66724807</v>
      </c>
      <c r="BY23" s="234">
        <f>'FIM interventions data'!AO24*'Assumptions data'!$T24*'Assumptions data'!$X24+BE23</f>
        <v>77745575.872208878</v>
      </c>
      <c r="BZ23" s="234">
        <f>'FIM interventions data'!AP24*'Assumptions data'!$U23*'Assumptions data'!$Z24+BF23</f>
        <v>5507051.4075767165</v>
      </c>
      <c r="CA23" s="235">
        <f>'FIM interventions data'!AQ24*'Assumptions data'!$V24*'Assumptions data'!$Y24+BG23</f>
        <v>57961545.570060983</v>
      </c>
      <c r="CB23" s="234">
        <f>'FIM interventions data'!AR24*'Assumptions data'!$S24*'Assumptions data'!$W24+BH23</f>
        <v>1550153.0760858611</v>
      </c>
      <c r="CC23" s="234">
        <f>'FIM interventions data'!AS24*'Assumptions data'!$T24*'Assumptions data'!$X24+BI23</f>
        <v>1490767.5127335628</v>
      </c>
      <c r="CD23" s="234">
        <f>'FIM interventions data'!AT24*'Assumptions data'!$U23*'Assumptions data'!$Z24+BJ23</f>
        <v>105597.43415964174</v>
      </c>
      <c r="CE23" s="234">
        <f>'FIM interventions data'!AU24*'Assumptions data'!$V24*'Assumptions data'!$Y24+BK23</f>
        <v>1111409.7253032273</v>
      </c>
      <c r="CF23" s="247">
        <f>'FIM interventions data'!AV24*'Assumptions data'!$L24*'Local food sourcing'!$I23</f>
        <v>32395160.810623381</v>
      </c>
      <c r="CG23" s="234">
        <f>'FIM interventions data'!AW24*'Assumptions data'!$N24*'Local food sourcing'!$I23</f>
        <v>74793134.796434328</v>
      </c>
      <c r="CH23" s="234">
        <f>'FIM interventions data'!AX24*'Assumptions data'!$R23*'Local food sourcing'!$K23</f>
        <v>4629919.1086921515</v>
      </c>
      <c r="CI23" s="234">
        <f>'FIM interventions data'!AY24*'Assumptions data'!$P23*'Local food sourcing'!$L23</f>
        <v>55760416.48925373</v>
      </c>
      <c r="CJ23" s="247">
        <f>'FIM interventions data'!AV24*'Assumptions data'!$S24*'Assumptions data'!$W24+CF23</f>
        <v>260538080.81943855</v>
      </c>
      <c r="CK23" s="234">
        <f>'FIM interventions data'!AW24*'Assumptions data'!$T24*'Assumptions data'!$X24+CG23</f>
        <v>250557001.56805503</v>
      </c>
      <c r="CL23" s="234">
        <f>'FIM interventions data'!AX24*'Assumptions data'!$U23*'Assumptions data'!$Z24+CH23</f>
        <v>17748023.249986582</v>
      </c>
      <c r="CM23" s="235">
        <f>'FIM interventions data'!AY24*'Assumptions data'!$V24*'Assumptions data'!$Y24+CI23</f>
        <v>186797395.23900002</v>
      </c>
    </row>
    <row r="24" spans="1:91">
      <c r="A24" s="9">
        <v>23</v>
      </c>
      <c r="B24" s="1" t="s">
        <v>424</v>
      </c>
      <c r="C24" s="1" t="s">
        <v>425</v>
      </c>
      <c r="D24" s="78">
        <f>'FIM interventions data'!E25*'Assumptions data'!L25*'Local food sourcing'!I24</f>
        <v>70876206.246049792</v>
      </c>
      <c r="E24" s="118">
        <f>'FIM interventions data'!G25*'Assumptions data'!N25*'Local food sourcing'!I24</f>
        <v>163637207.37827921</v>
      </c>
      <c r="F24" s="118">
        <f>'FIM interventions data'!I25*'Assumptions data'!$R24*'Local food sourcing'!$K24</f>
        <v>10129633.360010397</v>
      </c>
      <c r="G24" s="178">
        <f>'FIM interventions data'!K25*'Assumptions data'!$P24*'Local food sourcing'!$L24</f>
        <v>121996208.09296834</v>
      </c>
      <c r="H24" s="247">
        <f>'FIM interventions data'!L25*'Assumptions data'!$L25*'Local food sourcing'!$I24</f>
        <v>17631781.008541364</v>
      </c>
      <c r="I24" s="234">
        <f>'FIM interventions data'!M25*'Assumptions data'!$N25*'Local food sourcing'!$I24</f>
        <v>40707813.780649327</v>
      </c>
      <c r="J24" s="234">
        <f>'FIM interventions data'!N25*'Assumptions data'!$R24*'Local food sourcing'!$K24</f>
        <v>2519935.6252292721</v>
      </c>
      <c r="K24" s="235">
        <f>'FIM interventions data'!O25*'Assumptions data'!$P24*'Local food sourcing'!$L24</f>
        <v>30348836.921382818</v>
      </c>
      <c r="L24" s="247">
        <f>'FIM interventions data'!P25*'Assumptions data'!$L25*'Local food sourcing'!$I24</f>
        <v>13086274.093209229</v>
      </c>
      <c r="M24" s="234">
        <f>'FIM interventions data'!Q25*'Assumptions data'!$N25*'Local food sourcing'!$I24</f>
        <v>30213261.417597827</v>
      </c>
      <c r="N24" s="234">
        <f>'FIM interventions data'!R25*'Assumptions data'!$R24*'Local food sourcing'!$K24</f>
        <v>1870291.3944438167</v>
      </c>
      <c r="O24" s="235">
        <f>'FIM interventions data'!S25*'Assumptions data'!$P24*'Local food sourcing'!$L24</f>
        <v>22524848.633891884</v>
      </c>
      <c r="P24" s="247">
        <f>'FIM interventions data'!T25*'Assumptions data'!$L25*'Local food sourcing'!$I24</f>
        <v>48246813.750612594</v>
      </c>
      <c r="Q24" s="234">
        <f>'FIM interventions data'!U25*'Assumptions data'!$N25*'Local food sourcing'!$I24</f>
        <v>111391033.53870928</v>
      </c>
      <c r="R24" s="234">
        <f>'FIM interventions data'!V25*'Assumptions data'!$R24*'Local food sourcing'!$K24</f>
        <v>6895438.6805889746</v>
      </c>
      <c r="S24" s="235">
        <f>'FIM interventions data'!W25*'Assumptions data'!$P24*'Local food sourcing'!$L24</f>
        <v>83045194.457913965</v>
      </c>
      <c r="T24" s="247">
        <f>'FIM interventions data'!X25*'Assumptions data'!$L25*'Local food sourcing'!$I24</f>
        <v>519930.71363744006</v>
      </c>
      <c r="U24" s="234">
        <f>'FIM interventions data'!Y25*'Assumptions data'!$N25*'Local food sourcing'!$I24</f>
        <v>1200402.9915832065</v>
      </c>
      <c r="V24" s="234">
        <f>'FIM interventions data'!Z25*'Assumptions data'!$R24*'Local food sourcing'!$K24</f>
        <v>74308.541338573123</v>
      </c>
      <c r="W24" s="235">
        <f>'FIM interventions data'!AA25*'Assumptions data'!$P24*'Local food sourcing'!$L24</f>
        <v>894934.68816093507</v>
      </c>
      <c r="X24" s="118">
        <f>'FIM interventions data'!E25*'Assumptions data'!S25+D24</f>
        <v>736403782.89645731</v>
      </c>
      <c r="Y24" s="118">
        <f>'FIM interventions data'!G25*'Assumptions data'!T25+E24</f>
        <v>932732082.05619168</v>
      </c>
      <c r="Z24" s="118">
        <f>'FIM interventions data'!I25*'Assumptions data'!U24+F24</f>
        <v>584142190.42726612</v>
      </c>
      <c r="AA24" s="178">
        <f>'FIM interventions data'!K25*'Assumptions data'!$V25+G24</f>
        <v>695378386.12991965</v>
      </c>
      <c r="AB24" s="234">
        <f>'FIM interventions data'!L25*'Assumptions data'!$S25+H24</f>
        <v>183194204.67874479</v>
      </c>
      <c r="AC24" s="234">
        <f>'FIM interventions data'!M25*'Assumptions data'!$T25+I24</f>
        <v>232034538.54970118</v>
      </c>
      <c r="AD24" s="234">
        <f>'FIM interventions data'!N25*'Assumptions data'!$U24+J24</f>
        <v>145316287.72155467</v>
      </c>
      <c r="AE24" s="235">
        <f>'FIM interventions data'!O25*'Assumptions data'!$V25+K24</f>
        <v>172988370.45188209</v>
      </c>
      <c r="AF24" s="234">
        <f>'FIM interventions data'!P25*'Assumptions data'!$S25+L24</f>
        <v>135966387.82844388</v>
      </c>
      <c r="AG24" s="234">
        <f>'FIM interventions data'!Q25*'Assumptions data'!$T25+M24</f>
        <v>172215590.08030763</v>
      </c>
      <c r="AH24" s="234">
        <f>'FIM interventions data'!R25*'Assumptions data'!$U24+N24</f>
        <v>107853470.41292675</v>
      </c>
      <c r="AI24" s="235">
        <f>'FIM interventions data'!S25*'Assumptions data'!$V25+O24</f>
        <v>128391637.21318375</v>
      </c>
      <c r="AJ24" s="234">
        <f>'FIM interventions data'!T25*'Assumptions data'!$S25+P24</f>
        <v>501284394.86886495</v>
      </c>
      <c r="AK24" s="234">
        <f>'FIM interventions data'!U25*'Assumptions data'!$T25+Q24</f>
        <v>634928891.17064297</v>
      </c>
      <c r="AL24" s="234">
        <f>'FIM interventions data'!V25*'Assumptions data'!$U24+R24</f>
        <v>397636963.91396415</v>
      </c>
      <c r="AM24" s="235">
        <f>'FIM interventions data'!W25*'Assumptions data'!$V25+S24</f>
        <v>473357608.41010964</v>
      </c>
      <c r="AN24" s="234">
        <f>'FIM interventions data'!X25*'Assumptions data'!$S25+T24</f>
        <v>5402080.1146930028</v>
      </c>
      <c r="AO24" s="234">
        <f>'FIM interventions data'!Y25*'Assumptions data'!$T25+U24</f>
        <v>6842297.0520242779</v>
      </c>
      <c r="AP24" s="234">
        <f>'FIM interventions data'!Z25*'Assumptions data'!$U24+V24</f>
        <v>4285125.8838577168</v>
      </c>
      <c r="AQ24" s="235">
        <f>'FIM interventions data'!AA25*'Assumptions data'!$V25+W24</f>
        <v>5101127.7225173311</v>
      </c>
      <c r="AR24" s="118">
        <f>'FIM interventions data'!AB25*'Assumptions data'!$L25*'Local food sourcing'!$I24</f>
        <v>14111113.867076695</v>
      </c>
      <c r="AS24" s="118">
        <f>'FIM interventions data'!AC25*'Assumptions data'!$N25*'Local food sourcing'!$I24</f>
        <v>32579385.784126051</v>
      </c>
      <c r="AT24" s="118">
        <f>'FIM interventions data'!AD25*'Assumptions data'!$R24*'Local food sourcing'!$K24</f>
        <v>2016761.581152095</v>
      </c>
      <c r="AU24" s="178">
        <f>'FIM interventions data'!AE25*'Assumptions data'!$P24*'Local food sourcing'!$L24</f>
        <v>24288861.875241887</v>
      </c>
      <c r="AV24" s="234">
        <f>'FIM interventions data'!AF25*'Assumptions data'!$L25*'Local food sourcing'!$I24</f>
        <v>12714835.28574373</v>
      </c>
      <c r="AW24" s="234">
        <f>'FIM interventions data'!AG25*'Assumptions data'!$N25*'Local food sourcing'!$I24</f>
        <v>29355692.81475009</v>
      </c>
      <c r="AX24" s="234">
        <f>'FIM interventions data'!AH25*'Assumptions data'!$R24*'Local food sourcing'!$K24</f>
        <v>1817205.3288290289</v>
      </c>
      <c r="AY24" s="235">
        <f>'FIM interventions data'!AI25*'Assumptions data'!$P24*'Local food sourcing'!$L24</f>
        <v>21885506.766579527</v>
      </c>
      <c r="AZ24" s="234">
        <f>'FIM interventions data'!AJ25*'Assumptions data'!$L25*'Local food sourcing'!$I24</f>
        <v>2813926.8384475866</v>
      </c>
      <c r="BA24" s="234">
        <f>'FIM interventions data'!AK25*'Assumptions data'!$N25*'Local food sourcing'!$I24</f>
        <v>6496723.7102369172</v>
      </c>
      <c r="BB24" s="234">
        <f>'FIM interventions data'!AL25*'Assumptions data'!$R24*'Local food sourcing'!$K24</f>
        <v>402166.66050683125</v>
      </c>
      <c r="BC24" s="235">
        <f>'FIM interventions data'!AM25*'Assumptions data'!$P24*'Local food sourcing'!$L24</f>
        <v>4843492.9340024209</v>
      </c>
      <c r="BD24" s="234">
        <f>'FIM interventions data'!AN25*'Assumptions data'!$L25*'Local food sourcing'!$I24</f>
        <v>3434093.189360688</v>
      </c>
      <c r="BE24" s="234">
        <f>'FIM interventions data'!AO25*'Assumptions data'!$N25*'Local food sourcing'!$I24</f>
        <v>7928548.2272137105</v>
      </c>
      <c r="BF24" s="234">
        <f>'FIM interventions data'!AP25*'Assumptions data'!$R24*'Local food sourcing'!$K24</f>
        <v>490800.88755838689</v>
      </c>
      <c r="BG24" s="235">
        <f>'FIM interventions data'!AQ25*'Assumptions data'!$P24*'Local food sourcing'!$L24</f>
        <v>5910958.973812758</v>
      </c>
      <c r="BH24" s="234">
        <f>'FIM interventions data'!AR25*'Assumptions data'!$L25*'Local food sourcing'!$I24</f>
        <v>72840.967902013072</v>
      </c>
      <c r="BI24" s="234">
        <f>'FIM interventions data'!AS25*'Assumptions data'!$N25*'Local food sourcing'!$I24</f>
        <v>168173.39981258681</v>
      </c>
      <c r="BJ24" s="234">
        <f>'FIM interventions data'!AT25*'Assumptions data'!$R24*'Local food sourcing'!$K24</f>
        <v>10410.437261190196</v>
      </c>
      <c r="BK24" s="235">
        <f>'FIM interventions data'!AU25*'Assumptions data'!$P24*'Local food sourcing'!$L24</f>
        <v>125378.06900976005</v>
      </c>
      <c r="BL24" s="118">
        <f>'FIM interventions data'!AB25*'Assumptions data'!$S25*'Assumptions data'!$W25+AR24</f>
        <v>113488633.27596432</v>
      </c>
      <c r="BM24" s="118">
        <f>'FIM interventions data'!AC25*'Assumptions data'!$T25*'Assumptions data'!$X25+AS24</f>
        <v>109140942.37682229</v>
      </c>
      <c r="BN24" s="234">
        <f>'FIM interventions data'!AD25*'Assumptions data'!$U24*'Assumptions data'!$Z25+AT24</f>
        <v>7730919.3944163639</v>
      </c>
      <c r="BO24" s="235">
        <f>'FIM interventions data'!AE25*'Assumptions data'!$V25*'Assumptions data'!$Y25+AU24</f>
        <v>81367687.282060325</v>
      </c>
      <c r="BP24" s="234">
        <f>'FIM interventions data'!AF25*'Assumptions data'!$S25*'Assumptions data'!$W25+AV24</f>
        <v>102259062.78559396</v>
      </c>
      <c r="BQ24" s="234">
        <f>'FIM interventions data'!AG25*'Assumptions data'!$T25*'Assumptions data'!$X25+AW24</f>
        <v>98341570.929412812</v>
      </c>
      <c r="BR24" s="234">
        <f>'FIM interventions data'!AH25*'Assumptions data'!$U24*'Assumptions data'!$Z25+AX24</f>
        <v>6965953.7605112772</v>
      </c>
      <c r="BS24" s="235">
        <f>'FIM interventions data'!AI25*'Assumptions data'!$V25*'Assumptions data'!$Y25+AY24</f>
        <v>73316447.668041423</v>
      </c>
      <c r="BT24" s="234">
        <f>'FIM interventions data'!AJ25*'Assumptions data'!$S25*'Assumptions data'!$W25+AZ24</f>
        <v>22631006.598214716</v>
      </c>
      <c r="BU24" s="234">
        <f>'FIM interventions data'!AK25*'Assumptions data'!$T25*'Assumptions data'!$X25+BA24</f>
        <v>21764024.429293673</v>
      </c>
      <c r="BV24" s="234">
        <f>'FIM interventions data'!AL25*'Assumptions data'!$U24*'Assumptions data'!$Z25+BB24</f>
        <v>1541638.8652761863</v>
      </c>
      <c r="BW24" s="235">
        <f>'FIM interventions data'!AM25*'Assumptions data'!$V25*'Assumptions data'!$Y25+BC24</f>
        <v>16225701.328908112</v>
      </c>
      <c r="BX24" s="234">
        <f>'FIM interventions data'!AN25*'Assumptions data'!$S25*'Assumptions data'!$W25+BD24</f>
        <v>27618694.475433335</v>
      </c>
      <c r="BY24" s="234">
        <f>'FIM interventions data'!AO25*'Assumptions data'!$T25*'Assumptions data'!$X25+BE24</f>
        <v>26560636.561165933</v>
      </c>
      <c r="BZ24" s="234">
        <f>'FIM interventions data'!AP25*'Assumptions data'!$U24*'Assumptions data'!$Z25+BF24</f>
        <v>1881403.4023071497</v>
      </c>
      <c r="CA24" s="235">
        <f>'FIM interventions data'!AQ25*'Assumptions data'!$V25*'Assumptions data'!$Y25+BG24</f>
        <v>19801712.562272742</v>
      </c>
      <c r="CB24" s="234">
        <f>'FIM interventions data'!AR25*'Assumptions data'!$S25*'Assumptions data'!$W25+BH24</f>
        <v>585823.48435194022</v>
      </c>
      <c r="CC24" s="234">
        <f>'FIM interventions data'!AS25*'Assumptions data'!$T25*'Assumptions data'!$X25+BI24</f>
        <v>563380.8893721659</v>
      </c>
      <c r="CD24" s="234">
        <f>'FIM interventions data'!AT25*'Assumptions data'!$U24*'Assumptions data'!$Z25+BJ24</f>
        <v>39906.676167895755</v>
      </c>
      <c r="CE24" s="234">
        <f>'FIM interventions data'!AU25*'Assumptions data'!$V25*'Assumptions data'!$Y25+BK24</f>
        <v>420016.53118269617</v>
      </c>
      <c r="CF24" s="247">
        <f>'FIM interventions data'!AV25*'Assumptions data'!$L25*'Local food sourcing'!$I24</f>
        <v>12954940.281466207</v>
      </c>
      <c r="CG24" s="234">
        <f>'FIM interventions data'!AW25*'Assumptions data'!$N25*'Local food sourcing'!$I24</f>
        <v>29910041.206948206</v>
      </c>
      <c r="CH24" s="234">
        <f>'FIM interventions data'!AX25*'Assumptions data'!$R24*'Local food sourcing'!$K24</f>
        <v>1851521.1550194451</v>
      </c>
      <c r="CI24" s="234">
        <f>'FIM interventions data'!AY25*'Assumptions data'!$P24*'Local food sourcing'!$L24</f>
        <v>22298789.313343283</v>
      </c>
      <c r="CJ24" s="247">
        <f>'FIM interventions data'!AV25*'Assumptions data'!$S25*'Assumptions data'!$W25+CF24</f>
        <v>104190107.21369196</v>
      </c>
      <c r="CK24" s="234">
        <f>'FIM interventions data'!AW25*'Assumptions data'!$T25*'Assumptions data'!$X25+CG24</f>
        <v>100198638.0432765</v>
      </c>
      <c r="CL24" s="234">
        <f>'FIM interventions data'!AX25*'Assumptions data'!$U24*'Assumptions data'!$Z25+CH24</f>
        <v>7097497.7609078735</v>
      </c>
      <c r="CM24" s="235">
        <f>'FIM interventions data'!AY25*'Assumptions data'!$V25*'Assumptions data'!$Y25+CI24</f>
        <v>74700944.199699998</v>
      </c>
    </row>
    <row r="25" spans="1:91">
      <c r="A25" s="9">
        <v>24</v>
      </c>
      <c r="B25" s="1" t="s">
        <v>429</v>
      </c>
      <c r="C25" s="1" t="s">
        <v>430</v>
      </c>
      <c r="D25" s="78">
        <f>'FIM interventions data'!E26*'Assumptions data'!L26*'Local food sourcing'!I25</f>
        <v>12880874.124568244</v>
      </c>
      <c r="E25" s="118">
        <f>'FIM interventions data'!G26*'Assumptions data'!N26*'Local food sourcing'!I25</f>
        <v>29739039.121509977</v>
      </c>
      <c r="F25" s="118">
        <f>'FIM interventions data'!I26*'Assumptions data'!$R25*'Local food sourcing'!$K25</f>
        <v>1840935.6136438698</v>
      </c>
      <c r="G25" s="178">
        <f>'FIM interventions data'!K26*'Assumptions data'!$P25*'Local food sourcing'!$L25</f>
        <v>22171302.378472604</v>
      </c>
      <c r="H25" s="247">
        <f>'FIM interventions data'!L26*'Assumptions data'!$L26*'Local food sourcing'!$I25</f>
        <v>4032343.2209390015</v>
      </c>
      <c r="I25" s="234">
        <f>'FIM interventions data'!M26*'Assumptions data'!$N26*'Local food sourcing'!$I25</f>
        <v>9309772.8957800921</v>
      </c>
      <c r="J25" s="234">
        <f>'FIM interventions data'!N26*'Assumptions data'!$R25*'Local food sourcing'!$K25</f>
        <v>576302.83240663714</v>
      </c>
      <c r="K25" s="235">
        <f>'FIM interventions data'!O26*'Assumptions data'!$P25*'Local food sourcing'!$L25</f>
        <v>6940701.3825794607</v>
      </c>
      <c r="L25" s="247">
        <f>'FIM interventions data'!P26*'Assumptions data'!$L26*'Local food sourcing'!$I25</f>
        <v>2552191.3986169938</v>
      </c>
      <c r="M25" s="234">
        <f>'FIM interventions data'!Q26*'Assumptions data'!$N26*'Local food sourcing'!$I25</f>
        <v>5892435.4911818653</v>
      </c>
      <c r="N25" s="234">
        <f>'FIM interventions data'!R26*'Assumptions data'!$R25*'Local food sourcing'!$K25</f>
        <v>364759.40942455793</v>
      </c>
      <c r="O25" s="235">
        <f>'FIM interventions data'!S26*'Assumptions data'!$P25*'Local food sourcing'!$L25</f>
        <v>4392978.8210993009</v>
      </c>
      <c r="P25" s="247">
        <f>'FIM interventions data'!T26*'Assumptions data'!$L26*'Local food sourcing'!$I25</f>
        <v>7171706.4495548923</v>
      </c>
      <c r="Q25" s="234">
        <f>'FIM interventions data'!U26*'Assumptions data'!$N26*'Local food sourcing'!$I25</f>
        <v>16557855.981567357</v>
      </c>
      <c r="R25" s="234">
        <f>'FIM interventions data'!V26*'Assumptions data'!$R25*'Local food sourcing'!$K25</f>
        <v>1024980.8891776263</v>
      </c>
      <c r="S25" s="235">
        <f>'FIM interventions data'!W26*'Assumptions data'!$P25*'Local food sourcing'!$L25</f>
        <v>12344354.173871219</v>
      </c>
      <c r="T25" s="247">
        <f>'FIM interventions data'!X26*'Assumptions data'!$L26*'Local food sourcing'!$I25</f>
        <v>252923.65576119433</v>
      </c>
      <c r="U25" s="234">
        <f>'FIM interventions data'!Y26*'Assumptions data'!$N26*'Local food sourcing'!$I25</f>
        <v>583943.79299856746</v>
      </c>
      <c r="V25" s="234">
        <f>'FIM interventions data'!Z26*'Assumptions data'!$R25*'Local food sourcing'!$K25</f>
        <v>36147.870161676023</v>
      </c>
      <c r="W25" s="235">
        <f>'FIM interventions data'!AA26*'Assumptions data'!$P25*'Local food sourcing'!$L25</f>
        <v>435346.76267462713</v>
      </c>
      <c r="X25" s="118">
        <f>'FIM interventions data'!E26*'Assumptions data'!S26+D25</f>
        <v>315259394.19880772</v>
      </c>
      <c r="Y25" s="118">
        <f>'FIM interventions data'!G26*'Assumptions data'!T26+E25</f>
        <v>379172748.79925221</v>
      </c>
      <c r="Z25" s="118">
        <f>'FIM interventions data'!I26*'Assumptions data'!U25+F25</f>
        <v>262640147.54652542</v>
      </c>
      <c r="AA25" s="178">
        <f>'FIM interventions data'!K26*'Assumptions data'!$V26+G25</f>
        <v>282684105.32552576</v>
      </c>
      <c r="AB25" s="234">
        <f>'FIM interventions data'!L26*'Assumptions data'!$S26+H25</f>
        <v>98691600.332482055</v>
      </c>
      <c r="AC25" s="234">
        <f>'FIM interventions data'!M26*'Assumptions data'!$T26+I25</f>
        <v>118699604.42119616</v>
      </c>
      <c r="AD25" s="234">
        <f>'FIM interventions data'!N26*'Assumptions data'!$U25+J25</f>
        <v>82219204.090013564</v>
      </c>
      <c r="AE25" s="235">
        <f>'FIM interventions data'!O26*'Assumptions data'!$V26+K25</f>
        <v>88493942.627888128</v>
      </c>
      <c r="AF25" s="234">
        <f>'FIM interventions data'!P26*'Assumptions data'!$S26+L25</f>
        <v>62464884.481150918</v>
      </c>
      <c r="AG25" s="234">
        <f>'FIM interventions data'!Q26*'Assumptions data'!$T26+M25</f>
        <v>75128552.512568787</v>
      </c>
      <c r="AH25" s="234">
        <f>'FIM interventions data'!R26*'Assumptions data'!$U25+N25</f>
        <v>52039009.077903599</v>
      </c>
      <c r="AI25" s="235">
        <f>'FIM interventions data'!S26*'Assumptions data'!$V26+O25</f>
        <v>56010479.96901609</v>
      </c>
      <c r="AJ25" s="234">
        <f>'FIM interventions data'!T26*'Assumptions data'!$S26+P25</f>
        <v>175527515.35285601</v>
      </c>
      <c r="AK25" s="234">
        <f>'FIM interventions data'!U26*'Assumptions data'!$T26+Q25</f>
        <v>211112663.7649838</v>
      </c>
      <c r="AL25" s="234">
        <f>'FIM interventions data'!V26*'Assumptions data'!$U25+R25</f>
        <v>146230606.85600802</v>
      </c>
      <c r="AM25" s="235">
        <f>'FIM interventions data'!W26*'Assumptions data'!$V26+S25</f>
        <v>157390515.71685803</v>
      </c>
      <c r="AN25" s="234">
        <f>'FIM interventions data'!X26*'Assumptions data'!$S26+T25</f>
        <v>6190306.4747552313</v>
      </c>
      <c r="AO25" s="234">
        <f>'FIM interventions data'!Y26*'Assumptions data'!$T26+U25</f>
        <v>7445283.3607317349</v>
      </c>
      <c r="AP25" s="234">
        <f>'FIM interventions data'!Z26*'Assumptions data'!$U25+V25</f>
        <v>5157096.1430657785</v>
      </c>
      <c r="AQ25" s="235">
        <f>'FIM interventions data'!AA26*'Assumptions data'!$V26+W25</f>
        <v>5550671.224101495</v>
      </c>
      <c r="AR25" s="118">
        <f>'FIM interventions data'!AB26*'Assumptions data'!$L26*'Local food sourcing'!$I25</f>
        <v>5705884.5691183591</v>
      </c>
      <c r="AS25" s="118">
        <f>'FIM interventions data'!AC26*'Assumptions data'!$N26*'Local food sourcing'!$I25</f>
        <v>13173603.187393837</v>
      </c>
      <c r="AT25" s="118">
        <f>'FIM interventions data'!AD26*'Assumptions data'!$R25*'Local food sourcing'!$K25</f>
        <v>815485.50269550015</v>
      </c>
      <c r="AU25" s="178">
        <f>'FIM interventions data'!AE26*'Assumptions data'!$P25*'Local food sourcing'!$L25</f>
        <v>9821297.1336543057</v>
      </c>
      <c r="AV25" s="234">
        <f>'FIM interventions data'!AF26*'Assumptions data'!$L26*'Local food sourcing'!$I25</f>
        <v>2853330.1189522864</v>
      </c>
      <c r="AW25" s="234">
        <f>'FIM interventions data'!AG26*'Assumptions data'!$N26*'Local food sourcing'!$I25</f>
        <v>6587697.0160166882</v>
      </c>
      <c r="AX25" s="234">
        <f>'FIM interventions data'!AH26*'Assumptions data'!$R25*'Local food sourcing'!$K25</f>
        <v>407798.18067184428</v>
      </c>
      <c r="AY25" s="235">
        <f>'FIM interventions data'!AI26*'Assumptions data'!$P25*'Local food sourcing'!$L25</f>
        <v>4911316.1297207279</v>
      </c>
      <c r="AZ25" s="234">
        <f>'FIM interventions data'!AJ26*'Assumptions data'!$L26*'Local food sourcing'!$I25</f>
        <v>1114752.0947507061</v>
      </c>
      <c r="BA25" s="234">
        <f>'FIM interventions data'!AK26*'Assumptions data'!$N26*'Local food sourcing'!$I25</f>
        <v>2573711.6779477629</v>
      </c>
      <c r="BB25" s="234">
        <f>'FIM interventions data'!AL26*'Assumptions data'!$R25*'Local food sourcing'!$K25</f>
        <v>159320.4631738817</v>
      </c>
      <c r="BC25" s="235">
        <f>'FIM interventions data'!AM26*'Assumptions data'!$P25*'Local food sourcing'!$L25</f>
        <v>1918775.5062843689</v>
      </c>
      <c r="BD25" s="234">
        <f>'FIM interventions data'!AN26*'Assumptions data'!$L26*'Local food sourcing'!$I25</f>
        <v>1461416.0058574528</v>
      </c>
      <c r="BE25" s="234">
        <f>'FIM interventions data'!AO26*'Assumptions data'!$N26*'Local food sourcing'!$I25</f>
        <v>3374080.6214463669</v>
      </c>
      <c r="BF25" s="234">
        <f>'FIM interventions data'!AP26*'Assumptions data'!$R25*'Local food sourcing'!$K25</f>
        <v>208865.69851658586</v>
      </c>
      <c r="BG25" s="235">
        <f>'FIM interventions data'!AQ26*'Assumptions data'!$P25*'Local food sourcing'!$L25</f>
        <v>2515473.3951482782</v>
      </c>
      <c r="BH25" s="234">
        <f>'FIM interventions data'!AR26*'Assumptions data'!$L26*'Local food sourcing'!$I25</f>
        <v>40371.47148896486</v>
      </c>
      <c r="BI25" s="234">
        <f>'FIM interventions data'!AS26*'Assumptions data'!$N26*'Local food sourcing'!$I25</f>
        <v>93208.640841639659</v>
      </c>
      <c r="BJ25" s="234">
        <f>'FIM interventions data'!AT26*'Assumptions data'!$R25*'Local food sourcing'!$K25</f>
        <v>5769.8941019450976</v>
      </c>
      <c r="BK25" s="235">
        <f>'FIM interventions data'!AU26*'Assumptions data'!$P25*'Local food sourcing'!$L25</f>
        <v>69489.701800476876</v>
      </c>
      <c r="BL25" s="118">
        <f>'FIM interventions data'!AB26*'Assumptions data'!$S26*'Assumptions data'!$W26+AR25</f>
        <v>106165114.76415847</v>
      </c>
      <c r="BM25" s="118">
        <f>'FIM interventions data'!AC26*'Assumptions data'!$T26*'Assumptions data'!$X26+AS25</f>
        <v>90568521.913332641</v>
      </c>
      <c r="BN25" s="234">
        <f>'FIM interventions data'!AD26*'Assumptions data'!$U25*'Assumptions data'!$Z26+AT25</f>
        <v>6591841.146788626</v>
      </c>
      <c r="BO25" s="235">
        <f>'FIM interventions data'!AE26*'Assumptions data'!$V26*'Assumptions data'!$Y26+AU25</f>
        <v>67521417.793873355</v>
      </c>
      <c r="BP25" s="234">
        <f>'FIM interventions data'!AF26*'Assumptions data'!$S26*'Assumptions data'!$W26+AV25</f>
        <v>53089773.525755979</v>
      </c>
      <c r="BQ25" s="234">
        <f>'FIM interventions data'!AG26*'Assumptions data'!$T26*'Assumptions data'!$X26+AW25</f>
        <v>45290416.985114738</v>
      </c>
      <c r="BR25" s="234">
        <f>'FIM interventions data'!AH26*'Assumptions data'!$U25*'Assumptions data'!$Z26+AX25</f>
        <v>3296368.6270974078</v>
      </c>
      <c r="BS25" s="235">
        <f>'FIM interventions data'!AI26*'Assumptions data'!$V26*'Assumptions data'!$Y26+AY25</f>
        <v>33765298.391830012</v>
      </c>
      <c r="BT25" s="234">
        <f>'FIM interventions data'!AJ26*'Assumptions data'!$S26*'Assumptions data'!$W26+AZ25</f>
        <v>20741356.162955325</v>
      </c>
      <c r="BU25" s="234">
        <f>'FIM interventions data'!AK26*'Assumptions data'!$T26*'Assumptions data'!$X26+BA25</f>
        <v>17694267.78589087</v>
      </c>
      <c r="BV25" s="234">
        <f>'FIM interventions data'!AL26*'Assumptions data'!$U25*'Assumptions data'!$Z26+BB25</f>
        <v>1287840.4106555437</v>
      </c>
      <c r="BW25" s="235">
        <f>'FIM interventions data'!AM26*'Assumptions data'!$V26*'Assumptions data'!$Y26+BC25</f>
        <v>13191581.605705036</v>
      </c>
      <c r="BX25" s="234">
        <f>'FIM interventions data'!AN26*'Assumptions data'!$S26*'Assumptions data'!$W26+BD25</f>
        <v>27191471.558985226</v>
      </c>
      <c r="BY25" s="234">
        <f>'FIM interventions data'!AO26*'Assumptions data'!$T26*'Assumptions data'!$X26+BE25</f>
        <v>23196804.272443775</v>
      </c>
      <c r="BZ25" s="234">
        <f>'FIM interventions data'!AP26*'Assumptions data'!$U25*'Assumptions data'!$Z26+BF25</f>
        <v>1688331.0630090693</v>
      </c>
      <c r="CA25" s="235">
        <f>'FIM interventions data'!AQ26*'Assumptions data'!$V26*'Assumptions data'!$Y26+BG25</f>
        <v>17293879.591644414</v>
      </c>
      <c r="CB25" s="234">
        <f>'FIM interventions data'!AR26*'Assumptions data'!$S26*'Assumptions data'!$W26+BH25</f>
        <v>751161.69139155245</v>
      </c>
      <c r="CC25" s="234">
        <f>'FIM interventions data'!AS26*'Assumptions data'!$T26*'Assumptions data'!$X26+BI25</f>
        <v>640809.40578627284</v>
      </c>
      <c r="CD25" s="234">
        <f>'FIM interventions data'!AT26*'Assumptions data'!$U25*'Assumptions data'!$Z26+BJ25</f>
        <v>46639.977324056206</v>
      </c>
      <c r="CE25" s="234">
        <f>'FIM interventions data'!AU26*'Assumptions data'!$V26*'Assumptions data'!$Y26+BK25</f>
        <v>477741.6998782786</v>
      </c>
      <c r="CF25" s="247">
        <f>'FIM interventions data'!AV26*'Assumptions data'!$L26*'Local food sourcing'!$I25</f>
        <v>4686526.5626338925</v>
      </c>
      <c r="CG25" s="234">
        <f>'FIM interventions data'!AW26*'Assumptions data'!$N26*'Local food sourcing'!$I25</f>
        <v>10820134.987914626</v>
      </c>
      <c r="CH25" s="234">
        <f>'FIM interventions data'!AX26*'Assumptions data'!$R25*'Local food sourcing'!$K25</f>
        <v>669798.77064282016</v>
      </c>
      <c r="CI25" s="234">
        <f>'FIM interventions data'!AY26*'Assumptions data'!$P25*'Local food sourcing'!$L25</f>
        <v>8066719.4260298507</v>
      </c>
      <c r="CJ25" s="247">
        <f>'FIM interventions data'!AV26*'Assumptions data'!$S26*'Assumptions data'!$W26+CF25</f>
        <v>87198684.856006846</v>
      </c>
      <c r="CK25" s="234">
        <f>'FIM interventions data'!AW26*'Assumptions data'!$T26*'Assumptions data'!$X26+CG25</f>
        <v>74388428.041913062</v>
      </c>
      <c r="CL25" s="234">
        <f>'FIM interventions data'!AX26*'Assumptions data'!$U25*'Assumptions data'!$Z26+CH25</f>
        <v>5414206.7293627961</v>
      </c>
      <c r="CM25" s="235">
        <f>'FIM interventions data'!AY26*'Assumptions data'!$V26*'Assumptions data'!$Y26+CI25</f>
        <v>55458696.053955235</v>
      </c>
    </row>
    <row r="26" spans="1:91">
      <c r="A26" s="9">
        <v>25</v>
      </c>
      <c r="B26" s="1" t="s">
        <v>434</v>
      </c>
      <c r="C26" s="1" t="s">
        <v>435</v>
      </c>
      <c r="D26" s="78">
        <f>'FIM interventions data'!E27*'Assumptions data'!L27*'Local food sourcing'!I26</f>
        <v>46136950.762511879</v>
      </c>
      <c r="E26" s="118">
        <f>'FIM interventions data'!G27*'Assumptions data'!N27*'Local food sourcing'!I26</f>
        <v>106519834.7879602</v>
      </c>
      <c r="F26" s="118">
        <f>'FIM interventions data'!I27*'Assumptions data'!$R26*'Local food sourcing'!$K26</f>
        <v>6593896.8848116733</v>
      </c>
      <c r="G26" s="178">
        <f>'FIM interventions data'!K27*'Assumptions data'!$P26*'Local food sourcing'!$L26</f>
        <v>79413576.77157183</v>
      </c>
      <c r="H26" s="247">
        <f>'FIM interventions data'!L27*'Assumptions data'!$L27*'Local food sourcing'!$I26</f>
        <v>7776563.7670341907</v>
      </c>
      <c r="I26" s="234">
        <f>'FIM interventions data'!M27*'Assumptions data'!$N27*'Local food sourcing'!$I26</f>
        <v>17954335.386108648</v>
      </c>
      <c r="J26" s="234">
        <f>'FIM interventions data'!N27*'Assumptions data'!$R26*'Local food sourcing'!$K26</f>
        <v>1111427.1478827638</v>
      </c>
      <c r="K26" s="235">
        <f>'FIM interventions data'!O27*'Assumptions data'!$P26*'Local food sourcing'!$L26</f>
        <v>13385469.423657486</v>
      </c>
      <c r="L26" s="247">
        <f>'FIM interventions data'!P27*'Assumptions data'!$L27*'Local food sourcing'!$I26</f>
        <v>9453311.0173755903</v>
      </c>
      <c r="M26" s="234">
        <f>'FIM interventions data'!Q27*'Assumptions data'!$N27*'Local food sourcing'!$I26</f>
        <v>21825567.384228855</v>
      </c>
      <c r="N26" s="234">
        <f>'FIM interventions data'!R27*'Assumptions data'!$R26*'Local food sourcing'!$K26</f>
        <v>1351068.0059783615</v>
      </c>
      <c r="O26" s="235">
        <f>'FIM interventions data'!S27*'Assumptions data'!$P26*'Local food sourcing'!$L26</f>
        <v>16271583.358167948</v>
      </c>
      <c r="P26" s="247">
        <f>'FIM interventions data'!T27*'Assumptions data'!$L27*'Local food sourcing'!$I26</f>
        <v>23087642.360872973</v>
      </c>
      <c r="Q26" s="234">
        <f>'FIM interventions data'!U27*'Assumptions data'!$N27*'Local food sourcing'!$I26</f>
        <v>53304169.635804638</v>
      </c>
      <c r="R26" s="234">
        <f>'FIM interventions data'!V27*'Assumptions data'!$R26*'Local food sourcing'!$K26</f>
        <v>3299687.7887453581</v>
      </c>
      <c r="S26" s="235">
        <f>'FIM interventions data'!W27*'Assumptions data'!$P26*'Local food sourcing'!$L26</f>
        <v>39739779.694967389</v>
      </c>
      <c r="T26" s="247">
        <f>'FIM interventions data'!X27*'Assumptions data'!$L27*'Local food sourcing'!$I26</f>
        <v>749972.50907837553</v>
      </c>
      <c r="U26" s="234">
        <f>'FIM interventions data'!Y27*'Assumptions data'!$N27*'Local food sourcing'!$I26</f>
        <v>1731517.7193602459</v>
      </c>
      <c r="V26" s="234">
        <f>'FIM interventions data'!Z27*'Assumptions data'!$R26*'Local food sourcing'!$K26</f>
        <v>107186.13409806225</v>
      </c>
      <c r="W26" s="235">
        <f>'FIM interventions data'!AA27*'Assumptions data'!$P26*'Local food sourcing'!$L26</f>
        <v>1290895.8750402979</v>
      </c>
      <c r="X26" s="118">
        <f>'FIM interventions data'!E27*'Assumptions data'!S27+D26</f>
        <v>768180230.19582283</v>
      </c>
      <c r="Y26" s="118">
        <f>'FIM interventions data'!G27*'Assumptions data'!T27+E26</f>
        <v>940925207.29364848</v>
      </c>
      <c r="Z26" s="118">
        <f>'FIM interventions data'!I27*'Assumptions data'!U26+F26</f>
        <v>629350824.89480305</v>
      </c>
      <c r="AA26" s="178">
        <f>'FIM interventions data'!K27*'Assumptions data'!$V27+G26</f>
        <v>701486594.8155514</v>
      </c>
      <c r="AB26" s="234">
        <f>'FIM interventions data'!L27*'Assumptions data'!$S27+H26</f>
        <v>129479786.72111928</v>
      </c>
      <c r="AC26" s="234">
        <f>'FIM interventions data'!M27*'Assumptions data'!$T27+I26</f>
        <v>158596629.24395972</v>
      </c>
      <c r="AD26" s="234">
        <f>'FIM interventions data'!N27*'Assumptions data'!$U26+J26</f>
        <v>106079546.67014378</v>
      </c>
      <c r="AE26" s="235">
        <f>'FIM interventions data'!O27*'Assumptions data'!$V27+K26</f>
        <v>118238313.24230781</v>
      </c>
      <c r="AF26" s="234">
        <f>'FIM interventions data'!P27*'Assumptions data'!$S27+L26</f>
        <v>157397628.43930361</v>
      </c>
      <c r="AG26" s="234">
        <f>'FIM interventions data'!Q27*'Assumptions data'!$T27+M26</f>
        <v>192792511.8940216</v>
      </c>
      <c r="AH26" s="234">
        <f>'FIM interventions data'!R27*'Assumptions data'!$U26+N26</f>
        <v>128951935.23726806</v>
      </c>
      <c r="AI26" s="235">
        <f>'FIM interventions data'!S27*'Assumptions data'!$V27+O26</f>
        <v>143732319.6638169</v>
      </c>
      <c r="AJ26" s="234">
        <f>'FIM interventions data'!T27*'Assumptions data'!$S27+P26</f>
        <v>384409245.30853498</v>
      </c>
      <c r="AK26" s="234">
        <f>'FIM interventions data'!U27*'Assumptions data'!$T27+Q26</f>
        <v>470853498.44960773</v>
      </c>
      <c r="AL26" s="234">
        <f>'FIM interventions data'!V27*'Assumptions data'!$U26+R26</f>
        <v>314936867.83691806</v>
      </c>
      <c r="AM26" s="235">
        <f>'FIM interventions data'!W27*'Assumptions data'!$V27+S26</f>
        <v>351034720.63887864</v>
      </c>
      <c r="AN26" s="234">
        <f>'FIM interventions data'!X27*'Assumptions data'!$S27+T26</f>
        <v>12487042.276154954</v>
      </c>
      <c r="AO26" s="234">
        <f>'FIM interventions data'!Y27*'Assumptions data'!$T27+U26</f>
        <v>15295073.187682174</v>
      </c>
      <c r="AP26" s="234">
        <f>'FIM interventions data'!Z27*'Assumptions data'!$U26+V26</f>
        <v>10230321.021137275</v>
      </c>
      <c r="AQ26" s="235">
        <f>'FIM interventions data'!AA27*'Assumptions data'!$V27+W26</f>
        <v>11402913.562855968</v>
      </c>
      <c r="AR26" s="118">
        <f>'FIM interventions data'!AB27*'Assumptions data'!$L27*'Local food sourcing'!$I26</f>
        <v>13301738.895360235</v>
      </c>
      <c r="AS26" s="118">
        <f>'FIM interventions data'!AC27*'Assumptions data'!$N27*'Local food sourcing'!$I26</f>
        <v>30710721.148863684</v>
      </c>
      <c r="AT26" s="118">
        <f>'FIM interventions data'!AD27*'Assumptions data'!$R26*'Local food sourcing'!$K26</f>
        <v>1901085.6420958412</v>
      </c>
      <c r="AU26" s="178">
        <f>'FIM interventions data'!AE27*'Assumptions data'!$P26*'Local food sourcing'!$L26</f>
        <v>22895719.060402464</v>
      </c>
      <c r="AV26" s="234">
        <f>'FIM interventions data'!AF27*'Assumptions data'!$L27*'Local food sourcing'!$I26</f>
        <v>7620137.3498795805</v>
      </c>
      <c r="AW26" s="234">
        <f>'FIM interventions data'!AG27*'Assumptions data'!$N27*'Local food sourcing'!$I26</f>
        <v>17593181.997416984</v>
      </c>
      <c r="AX26" s="234">
        <f>'FIM interventions data'!AH27*'Assumptions data'!$R26*'Local food sourcing'!$K26</f>
        <v>1089070.6711817475</v>
      </c>
      <c r="AY26" s="235">
        <f>'FIM interventions data'!AI27*'Assumptions data'!$P26*'Local food sourcing'!$L26</f>
        <v>13116219.265541201</v>
      </c>
      <c r="AZ26" s="234">
        <f>'FIM interventions data'!AJ27*'Assumptions data'!$L27*'Local food sourcing'!$I26</f>
        <v>3151626.5036635213</v>
      </c>
      <c r="BA26" s="234">
        <f>'FIM interventions data'!AK27*'Assumptions data'!$N27*'Local food sourcing'!$I26</f>
        <v>7276396.2276495602</v>
      </c>
      <c r="BB26" s="234">
        <f>'FIM interventions data'!AL27*'Assumptions data'!$R26*'Local food sourcing'!$K26</f>
        <v>450430.72507259401</v>
      </c>
      <c r="BC26" s="235">
        <f>'FIM interventions data'!AM27*'Assumptions data'!$P26*'Local food sourcing'!$L26</f>
        <v>5424761.0465702396</v>
      </c>
      <c r="BD26" s="234">
        <f>'FIM interventions data'!AN27*'Assumptions data'!$L27*'Local food sourcing'!$I26</f>
        <v>2696722.3695442993</v>
      </c>
      <c r="BE26" s="234">
        <f>'FIM interventions data'!AO27*'Assumptions data'!$N27*'Local food sourcing'!$I26</f>
        <v>6226124.9719663085</v>
      </c>
      <c r="BF26" s="234">
        <f>'FIM interventions data'!AP27*'Assumptions data'!$R26*'Local food sourcing'!$K26</f>
        <v>385415.78794991848</v>
      </c>
      <c r="BG26" s="235">
        <f>'FIM interventions data'!AQ27*'Assumptions data'!$P26*'Local food sourcing'!$L26</f>
        <v>4641753.8520866428</v>
      </c>
      <c r="BH26" s="234">
        <f>'FIM interventions data'!AR27*'Assumptions data'!$L27*'Local food sourcing'!$I26</f>
        <v>160612.26866478453</v>
      </c>
      <c r="BI26" s="234">
        <f>'FIM interventions data'!AS27*'Assumptions data'!$N27*'Local food sourcing'!$I26</f>
        <v>370817.5776755836</v>
      </c>
      <c r="BJ26" s="234">
        <f>'FIM interventions data'!AT27*'Assumptions data'!$R26*'Local food sourcing'!$K26</f>
        <v>22954.718951036259</v>
      </c>
      <c r="BK26" s="235">
        <f>'FIM interventions data'!AU27*'Assumptions data'!$P26*'Local food sourcing'!$L26</f>
        <v>276455.08680714486</v>
      </c>
      <c r="BL26" s="118">
        <f>'FIM interventions data'!AB27*'Assumptions data'!$S27*'Assumptions data'!$W27+AR26</f>
        <v>169430899.17965102</v>
      </c>
      <c r="BM26" s="118">
        <f>'FIM interventions data'!AC27*'Assumptions data'!$T27*'Assumptions data'!$X27+AS26</f>
        <v>150994378.98191315</v>
      </c>
      <c r="BN26" s="234">
        <f>'FIM interventions data'!AD27*'Assumptions data'!$U26*'Assumptions data'!$Z27+AT26</f>
        <v>10878434.507548427</v>
      </c>
      <c r="BO26" s="235">
        <f>'FIM interventions data'!AE27*'Assumptions data'!$V27*'Assumptions data'!$Y27+AU26</f>
        <v>112570618.71364547</v>
      </c>
      <c r="BP26" s="234">
        <f>'FIM interventions data'!AF27*'Assumptions data'!$S27*'Assumptions data'!$W27+AV26</f>
        <v>97061499.494091168</v>
      </c>
      <c r="BQ26" s="234">
        <f>'FIM interventions data'!AG27*'Assumptions data'!$T27*'Assumptions data'!$X27+AW26</f>
        <v>86499811.487300187</v>
      </c>
      <c r="BR26" s="234">
        <f>'FIM interventions data'!AH27*'Assumptions data'!$U26*'Assumptions data'!$Z27+AX26</f>
        <v>6231904.3962066667</v>
      </c>
      <c r="BS26" s="235">
        <f>'FIM interventions data'!AI27*'Assumptions data'!$V27*'Assumptions data'!$Y27+AY26</f>
        <v>64488078.055577584</v>
      </c>
      <c r="BT26" s="234">
        <f>'FIM interventions data'!AJ27*'Assumptions data'!$S27*'Assumptions data'!$W27+AZ26</f>
        <v>40143842.590414107</v>
      </c>
      <c r="BU26" s="234">
        <f>'FIM interventions data'!AK27*'Assumptions data'!$T27*'Assumptions data'!$X27+BA26</f>
        <v>35775614.78594368</v>
      </c>
      <c r="BV26" s="234">
        <f>'FIM interventions data'!AL27*'Assumptions data'!$U26*'Assumptions data'!$Z27+BB26</f>
        <v>2577464.7045820663</v>
      </c>
      <c r="BW26" s="235">
        <f>'FIM interventions data'!AM27*'Assumptions data'!$V27*'Assumptions data'!$Y27+BC26</f>
        <v>26671741.812303685</v>
      </c>
      <c r="BX26" s="234">
        <f>'FIM interventions data'!AN27*'Assumptions data'!$S27*'Assumptions data'!$W27+BD26</f>
        <v>34349501.182070516</v>
      </c>
      <c r="BY26" s="234">
        <f>'FIM interventions data'!AO27*'Assumptions data'!$T27*'Assumptions data'!$X27+BE26</f>
        <v>30611781.112167686</v>
      </c>
      <c r="BZ26" s="234">
        <f>'FIM interventions data'!AP27*'Assumptions data'!$U26*'Assumptions data'!$Z27+BF26</f>
        <v>2205434.7866023113</v>
      </c>
      <c r="CA26" s="235">
        <f>'FIM interventions data'!AQ27*'Assumptions data'!$V27*'Assumptions data'!$Y27+BG26</f>
        <v>22821956.439425997</v>
      </c>
      <c r="CB26" s="234">
        <f>'FIM interventions data'!AR27*'Assumptions data'!$S27*'Assumptions data'!$W27+BH26</f>
        <v>2045798.7721176932</v>
      </c>
      <c r="CC26" s="234">
        <f>'FIM interventions data'!AS27*'Assumptions data'!$T27*'Assumptions data'!$X27+BI26</f>
        <v>1823186.4235716194</v>
      </c>
      <c r="CD26" s="234">
        <f>'FIM interventions data'!AT27*'Assumptions data'!$U26*'Assumptions data'!$Z27+BJ26</f>
        <v>131352.00288648525</v>
      </c>
      <c r="CE26" s="234">
        <f>'FIM interventions data'!AU27*'Assumptions data'!$V27*'Assumptions data'!$Y27+BK26</f>
        <v>1359237.5101351291</v>
      </c>
      <c r="CF26" s="247">
        <f>'FIM interventions data'!AV27*'Assumptions data'!$L27*'Local food sourcing'!$I26</f>
        <v>11694966.823975425</v>
      </c>
      <c r="CG26" s="234">
        <f>'FIM interventions data'!AW27*'Assumptions data'!$N27*'Local food sourcing'!$I26</f>
        <v>27001046.088913966</v>
      </c>
      <c r="CH26" s="234">
        <f>'FIM interventions data'!AX27*'Assumptions data'!$R26*'Local food sourcing'!$K26</f>
        <v>1671445.6424642343</v>
      </c>
      <c r="CI26" s="234">
        <f>'FIM interventions data'!AY27*'Assumptions data'!$P26*'Local food sourcing'!$L26</f>
        <v>20130050.433922384</v>
      </c>
      <c r="CJ26" s="247">
        <f>'FIM interventions data'!AV27*'Assumptions data'!$S27*'Assumptions data'!$W27+CF26</f>
        <v>148964639.920387</v>
      </c>
      <c r="CK26" s="234">
        <f>'FIM interventions data'!AW27*'Assumptions data'!$T27*'Assumptions data'!$X27+CG26</f>
        <v>132755143.27049367</v>
      </c>
      <c r="CL26" s="234">
        <f>'FIM interventions data'!AX27*'Assumptions data'!$U26*'Assumptions data'!$Z27+CH26</f>
        <v>9564383.3985453397</v>
      </c>
      <c r="CM26" s="235">
        <f>'FIM interventions data'!AY27*'Assumptions data'!$V27*'Assumptions data'!$Y27+CI26</f>
        <v>98972747.966785058</v>
      </c>
    </row>
    <row r="27" spans="1:91">
      <c r="A27" s="9">
        <v>26</v>
      </c>
      <c r="B27" s="1" t="s">
        <v>439</v>
      </c>
      <c r="C27" s="1" t="s">
        <v>440</v>
      </c>
      <c r="D27" s="78">
        <f>'FIM interventions data'!E28*'Assumptions data'!L28*'Local food sourcing'!I27</f>
        <v>11489148.490781395</v>
      </c>
      <c r="E27" s="118">
        <f>'FIM interventions data'!G28*'Assumptions data'!N28*'Local food sourcing'!I27</f>
        <v>26525857.883238807</v>
      </c>
      <c r="F27" s="118">
        <f>'FIM interventions data'!I28*'Assumptions data'!$R27*'Local food sourcing'!$K27</f>
        <v>1642030.0689671668</v>
      </c>
      <c r="G27" s="178">
        <f>'FIM interventions data'!K28*'Assumptions data'!$P27*'Local food sourcing'!$L27</f>
        <v>19775784.065339964</v>
      </c>
      <c r="H27" s="247">
        <f>'FIM interventions data'!L28*'Assumptions data'!$L28*'Local food sourcing'!$I27</f>
        <v>2980664.1386981853</v>
      </c>
      <c r="I27" s="234">
        <f>'FIM interventions data'!M28*'Assumptions data'!$N28*'Local food sourcing'!$I27</f>
        <v>6881682.6072196709</v>
      </c>
      <c r="J27" s="234">
        <f>'FIM interventions data'!N28*'Assumptions data'!$R27*'Local food sourcing'!$K27</f>
        <v>425996.76948745491</v>
      </c>
      <c r="K27" s="235">
        <f>'FIM interventions data'!O28*'Assumptions data'!$P27*'Local food sourcing'!$L27</f>
        <v>5130490.7779278699</v>
      </c>
      <c r="L27" s="247">
        <f>'FIM interventions data'!P28*'Assumptions data'!$L28*'Local food sourcing'!$I27</f>
        <v>2613470.7641259874</v>
      </c>
      <c r="M27" s="234">
        <f>'FIM interventions data'!Q28*'Assumptions data'!$N28*'Local food sourcing'!$I27</f>
        <v>6033915.7533588987</v>
      </c>
      <c r="N27" s="234">
        <f>'FIM interventions data'!R28*'Assumptions data'!$R27*'Local food sourcing'!$K27</f>
        <v>373517.46149897703</v>
      </c>
      <c r="O27" s="235">
        <f>'FIM interventions data'!S28*'Assumptions data'!$P27*'Local food sourcing'!$L27</f>
        <v>4498456.3942144252</v>
      </c>
      <c r="P27" s="247">
        <f>'FIM interventions data'!T28*'Assumptions data'!$L28*'Local food sourcing'!$I27</f>
        <v>5585084.4302820479</v>
      </c>
      <c r="Q27" s="234">
        <f>'FIM interventions data'!U28*'Assumptions data'!$N28*'Local food sourcing'!$I27</f>
        <v>12894702.856562657</v>
      </c>
      <c r="R27" s="234">
        <f>'FIM interventions data'!V28*'Assumptions data'!$R27*'Local food sourcing'!$K27</f>
        <v>798220.73668923008</v>
      </c>
      <c r="S27" s="235">
        <f>'FIM interventions data'!W28*'Assumptions data'!$P27*'Local food sourcing'!$L27</f>
        <v>9613368.9775679987</v>
      </c>
      <c r="T27" s="247">
        <f>'FIM interventions data'!X28*'Assumptions data'!$L28*'Local food sourcing'!$I27</f>
        <v>327229.01549173938</v>
      </c>
      <c r="U27" s="234">
        <f>'FIM interventions data'!Y28*'Assumptions data'!$N28*'Local food sourcing'!$I27</f>
        <v>755498.14393735677</v>
      </c>
      <c r="V27" s="234">
        <f>'FIM interventions data'!Z28*'Assumptions data'!$R27*'Local food sourcing'!$K27</f>
        <v>46767.598426209828</v>
      </c>
      <c r="W27" s="235">
        <f>'FIM interventions data'!AA28*'Assumptions data'!$P27*'Local food sourcing'!$L27</f>
        <v>563245.42723690637</v>
      </c>
      <c r="X27" s="118">
        <f>'FIM interventions data'!E28*'Assumptions data'!S28+D27</f>
        <v>146343028.90132803</v>
      </c>
      <c r="Y27" s="118">
        <f>'FIM interventions data'!G28*'Assumptions data'!T28+E27</f>
        <v>182365272.94726682</v>
      </c>
      <c r="Z27" s="118">
        <f>'FIM interventions data'!I28*'Assumptions data'!U27+F27</f>
        <v>117952493.28747483</v>
      </c>
      <c r="AA27" s="178">
        <f>'FIM interventions data'!K28*'Assumptions data'!$V28+G27</f>
        <v>135958515.44921228</v>
      </c>
      <c r="AB27" s="234">
        <f>'FIM interventions data'!L28*'Assumptions data'!$S28+H27</f>
        <v>37966209.466668136</v>
      </c>
      <c r="AC27" s="234">
        <f>'FIM interventions data'!M28*'Assumptions data'!$T28+I27</f>
        <v>47311567.924635246</v>
      </c>
      <c r="AD27" s="234">
        <f>'FIM interventions data'!N28*'Assumptions data'!$U27+J27</f>
        <v>30600767.941515513</v>
      </c>
      <c r="AE27" s="235">
        <f>'FIM interventions data'!O28*'Assumptions data'!$V28+K27</f>
        <v>35272124.098254107</v>
      </c>
      <c r="AF27" s="234">
        <f>'FIM interventions data'!P28*'Assumptions data'!$S28+L27</f>
        <v>33289083.858054765</v>
      </c>
      <c r="AG27" s="234">
        <f>'FIM interventions data'!Q28*'Assumptions data'!$T28+M27</f>
        <v>41483170.804342434</v>
      </c>
      <c r="AH27" s="234">
        <f>'FIM interventions data'!R28*'Assumptions data'!$U27+N27</f>
        <v>26831004.317676514</v>
      </c>
      <c r="AI27" s="235">
        <f>'FIM interventions data'!S28*'Assumptions data'!$V28+O27</f>
        <v>30926887.710224178</v>
      </c>
      <c r="AJ27" s="234">
        <f>'FIM interventions data'!T28*'Assumptions data'!$S28+P27</f>
        <v>71140012.930717587</v>
      </c>
      <c r="AK27" s="234">
        <f>'FIM interventions data'!U28*'Assumptions data'!$T28+Q27</f>
        <v>88651082.138868272</v>
      </c>
      <c r="AL27" s="234">
        <f>'FIM interventions data'!V28*'Assumptions data'!$U27+R27</f>
        <v>57338856.252176367</v>
      </c>
      <c r="AM27" s="235">
        <f>'FIM interventions data'!W28*'Assumptions data'!$V28+S27</f>
        <v>66091911.72078</v>
      </c>
      <c r="AN27" s="234">
        <f>'FIM interventions data'!X28*'Assumptions data'!$S28+T27</f>
        <v>4168079.5848260303</v>
      </c>
      <c r="AO27" s="234">
        <f>'FIM interventions data'!Y28*'Assumptions data'!$T28+U27</f>
        <v>5194049.7395693278</v>
      </c>
      <c r="AP27" s="234">
        <f>'FIM interventions data'!Z28*'Assumptions data'!$U27+V27</f>
        <v>3359472.4869494056</v>
      </c>
      <c r="AQ27" s="235">
        <f>'FIM interventions data'!AA28*'Assumptions data'!$V28+W27</f>
        <v>3872312.3122537313</v>
      </c>
      <c r="AR27" s="118">
        <f>'FIM interventions data'!AB28*'Assumptions data'!$L28*'Local food sourcing'!$I27</f>
        <v>3195909.9956101831</v>
      </c>
      <c r="AS27" s="118">
        <f>'FIM interventions data'!AC28*'Assumptions data'!$N28*'Local food sourcing'!$I27</f>
        <v>7378636.8432089482</v>
      </c>
      <c r="AT27" s="118">
        <f>'FIM interventions data'!AD28*'Assumptions data'!$R27*'Local food sourcing'!$K27</f>
        <v>456759.72546749958</v>
      </c>
      <c r="AU27" s="178">
        <f>'FIM interventions data'!AE28*'Assumptions data'!$P27*'Local food sourcing'!$L27</f>
        <v>5500984.3432835769</v>
      </c>
      <c r="AV27" s="234">
        <f>'FIM interventions data'!AF28*'Assumptions data'!$L28*'Local food sourcing'!$I27</f>
        <v>2257055.2597951223</v>
      </c>
      <c r="AW27" s="234">
        <f>'FIM interventions data'!AG28*'Assumptions data'!$N28*'Local food sourcing'!$I27</f>
        <v>5211032.5759981684</v>
      </c>
      <c r="AX27" s="234">
        <f>'FIM interventions data'!AH28*'Assumptions data'!$R27*'Local food sourcing'!$K27</f>
        <v>322578.52763221017</v>
      </c>
      <c r="AY27" s="235">
        <f>'FIM interventions data'!AI28*'Assumptions data'!$P27*'Local food sourcing'!$L27</f>
        <v>3884973.501479432</v>
      </c>
      <c r="AZ27" s="234">
        <f>'FIM interventions data'!AJ28*'Assumptions data'!$L28*'Local food sourcing'!$I27</f>
        <v>591574.75006148161</v>
      </c>
      <c r="BA27" s="234">
        <f>'FIM interventions data'!AK28*'Assumptions data'!$N28*'Local food sourcing'!$I27</f>
        <v>1365812.9460189557</v>
      </c>
      <c r="BB27" s="234">
        <f>'FIM interventions data'!AL28*'Assumptions data'!$R27*'Local food sourcing'!$K27</f>
        <v>84547.913052225151</v>
      </c>
      <c r="BC27" s="235">
        <f>'FIM interventions data'!AM28*'Assumptions data'!$P27*'Local food sourcing'!$L27</f>
        <v>1018252.5297771362</v>
      </c>
      <c r="BD27" s="234">
        <f>'FIM interventions data'!AN28*'Assumptions data'!$L28*'Local food sourcing'!$I27</f>
        <v>575307.57039684232</v>
      </c>
      <c r="BE27" s="234">
        <f>'FIM interventions data'!AO28*'Assumptions data'!$N28*'Local food sourcing'!$I27</f>
        <v>1328255.6895963794</v>
      </c>
      <c r="BF27" s="234">
        <f>'FIM interventions data'!AP28*'Assumptions data'!$R27*'Local food sourcing'!$K27</f>
        <v>82223.006365880079</v>
      </c>
      <c r="BG27" s="235">
        <f>'FIM interventions data'!AQ28*'Assumptions data'!$P27*'Local food sourcing'!$L27</f>
        <v>990252.52327899414</v>
      </c>
      <c r="BH27" s="234">
        <f>'FIM interventions data'!AR28*'Assumptions data'!$L28*'Local food sourcing'!$I27</f>
        <v>56208.045833088101</v>
      </c>
      <c r="BI27" s="234">
        <f>'FIM interventions data'!AS28*'Assumptions data'!$N28*'Local food sourcing'!$I27</f>
        <v>129771.72649995622</v>
      </c>
      <c r="BJ27" s="234">
        <f>'FIM interventions data'!AT28*'Assumptions data'!$R27*'Local food sourcing'!$K27</f>
        <v>8033.2586396520828</v>
      </c>
      <c r="BK27" s="235">
        <f>'FIM interventions data'!AU28*'Assumptions data'!$P27*'Local food sourcing'!$L27</f>
        <v>96748.525621526147</v>
      </c>
      <c r="BL27" s="118">
        <f>'FIM interventions data'!AB28*'Assumptions data'!$S28*'Assumptions data'!$W28+AR27</f>
        <v>31329905.17571608</v>
      </c>
      <c r="BM27" s="118">
        <f>'FIM interventions data'!AC28*'Assumptions data'!$T28*'Assumptions data'!$X28+AS27</f>
        <v>29053382.570135236</v>
      </c>
      <c r="BN27" s="234">
        <f>'FIM interventions data'!AD28*'Assumptions data'!$U27*'Assumptions data'!$Z28+AT27</f>
        <v>2074450.4198315607</v>
      </c>
      <c r="BO27" s="235">
        <f>'FIM interventions data'!AE28*'Assumptions data'!$V28*'Assumptions data'!$Y28+AU27</f>
        <v>21660125.851679087</v>
      </c>
      <c r="BP27" s="234">
        <f>'FIM interventions data'!AF28*'Assumptions data'!$S28*'Assumptions data'!$W28+AV27</f>
        <v>22126194.843679056</v>
      </c>
      <c r="BQ27" s="234">
        <f>'FIM interventions data'!AG28*'Assumptions data'!$T28*'Assumptions data'!$X28+AW27</f>
        <v>20518440.767992791</v>
      </c>
      <c r="BR27" s="234">
        <f>'FIM interventions data'!AH28*'Assumptions data'!$U27*'Assumptions data'!$Z28+AX27</f>
        <v>1465044.1463296213</v>
      </c>
      <c r="BS27" s="235">
        <f>'FIM interventions data'!AI28*'Assumptions data'!$V28*'Assumptions data'!$Y28+AY27</f>
        <v>15297083.162075266</v>
      </c>
      <c r="BT27" s="234">
        <f>'FIM interventions data'!AJ28*'Assumptions data'!$S28*'Assumptions data'!$W28+AZ27</f>
        <v>5799281.2216964616</v>
      </c>
      <c r="BU27" s="234">
        <f>'FIM interventions data'!AK28*'Assumptions data'!$T28*'Assumptions data'!$X28+BA27</f>
        <v>5377888.4749496384</v>
      </c>
      <c r="BV27" s="234">
        <f>'FIM interventions data'!AL28*'Assumptions data'!$U27*'Assumptions data'!$Z28+BB27</f>
        <v>383988.43844552251</v>
      </c>
      <c r="BW27" s="235">
        <f>'FIM interventions data'!AM28*'Assumptions data'!$V28*'Assumptions data'!$Y28+BC27</f>
        <v>4009369.3359974734</v>
      </c>
      <c r="BX27" s="234">
        <f>'FIM interventions data'!AN28*'Assumptions data'!$S28*'Assumptions data'!$W28+BD27</f>
        <v>5639812.0260465443</v>
      </c>
      <c r="BY27" s="234">
        <f>'FIM interventions data'!AO28*'Assumptions data'!$T28*'Assumptions data'!$X28+BE27</f>
        <v>5230006.7777857445</v>
      </c>
      <c r="BZ27" s="234">
        <f>'FIM interventions data'!AP28*'Assumptions data'!$U27*'Assumptions data'!$Z28+BF27</f>
        <v>373429.48724503873</v>
      </c>
      <c r="CA27" s="235">
        <f>'FIM interventions data'!AQ28*'Assumptions data'!$V28*'Assumptions data'!$Y28+BG27</f>
        <v>3899119.3104110397</v>
      </c>
      <c r="CB27" s="234">
        <f>'FIM interventions data'!AR28*'Assumptions data'!$S28*'Assumptions data'!$W28+BH27</f>
        <v>551014.49930749182</v>
      </c>
      <c r="CC27" s="234">
        <f>'FIM interventions data'!AS28*'Assumptions data'!$T28*'Assumptions data'!$X28+BI27</f>
        <v>510976.17309357767</v>
      </c>
      <c r="CD27" s="234">
        <f>'FIM interventions data'!AT28*'Assumptions data'!$U27*'Assumptions data'!$Z28+BJ27</f>
        <v>36484.382988419879</v>
      </c>
      <c r="CE27" s="234">
        <f>'FIM interventions data'!AU28*'Assumptions data'!$V28*'Assumptions data'!$Y28+BK27</f>
        <v>380947.31963475922</v>
      </c>
      <c r="CF27" s="247">
        <f>'FIM interventions data'!AV28*'Assumptions data'!$L28*'Local food sourcing'!$I27</f>
        <v>2369869.764368746</v>
      </c>
      <c r="CG27" s="234">
        <f>'FIM interventions data'!AW28*'Assumptions data'!$N28*'Local food sourcing'!$I27</f>
        <v>5471495.8747264463</v>
      </c>
      <c r="CH27" s="234">
        <f>'FIM interventions data'!AX28*'Assumptions data'!$R27*'Local food sourcing'!$K27</f>
        <v>338701.98611776798</v>
      </c>
      <c r="CI27" s="234">
        <f>'FIM interventions data'!AY28*'Assumptions data'!$P27*'Local food sourcing'!$L27</f>
        <v>4079156.3239641786</v>
      </c>
      <c r="CJ27" s="247">
        <f>'FIM interventions data'!AV28*'Assumptions data'!$S28*'Assumptions data'!$W28+CF27</f>
        <v>23232129.533827364</v>
      </c>
      <c r="CK27" s="234">
        <f>'FIM interventions data'!AW28*'Assumptions data'!$T28*'Assumptions data'!$X28+CG27</f>
        <v>21544015.006735384</v>
      </c>
      <c r="CL27" s="234">
        <f>'FIM interventions data'!AX28*'Assumptions data'!$U27*'Assumptions data'!$Z28+CH27</f>
        <v>1538271.5202848627</v>
      </c>
      <c r="CM27" s="235">
        <f>'FIM interventions data'!AY28*'Assumptions data'!$V28*'Assumptions data'!$Y28+CI27</f>
        <v>16061678.025608953</v>
      </c>
    </row>
    <row r="28" spans="1:91">
      <c r="A28" s="9">
        <v>27</v>
      </c>
      <c r="B28" s="1" t="s">
        <v>444</v>
      </c>
      <c r="C28" s="1" t="s">
        <v>445</v>
      </c>
      <c r="D28" s="78">
        <f>'FIM interventions data'!E29*'Assumptions data'!L29*'Local food sourcing'!I28</f>
        <v>8196175.4811580423</v>
      </c>
      <c r="E28" s="118">
        <f>'FIM interventions data'!G29*'Assumptions data'!N29*'Local food sourcing'!I28</f>
        <v>18923124.3876541</v>
      </c>
      <c r="F28" s="118">
        <f>'FIM interventions data'!I29*'Assumptions data'!$R28*'Local food sourcing'!$K28</f>
        <v>1171398.0893702959</v>
      </c>
      <c r="G28" s="178">
        <f>'FIM interventions data'!K29*'Assumptions data'!$P28*'Local food sourcing'!$L28</f>
        <v>14107729.2722841</v>
      </c>
      <c r="H28" s="247">
        <f>'FIM interventions data'!L29*'Assumptions data'!$L29*'Local food sourcing'!$I28</f>
        <v>2037507.245609798</v>
      </c>
      <c r="I28" s="234">
        <f>'FIM interventions data'!M29*'Assumptions data'!$N29*'Local food sourcing'!$I28</f>
        <v>4704145.6271960018</v>
      </c>
      <c r="J28" s="234">
        <f>'FIM interventions data'!N29*'Assumptions data'!$R28*'Local food sourcing'!$K28</f>
        <v>291200.70697269024</v>
      </c>
      <c r="K28" s="235">
        <f>'FIM interventions data'!O29*'Assumptions data'!$P28*'Local food sourcing'!$L28</f>
        <v>3507074.8152550468</v>
      </c>
      <c r="L28" s="247">
        <f>'FIM interventions data'!P29*'Assumptions data'!$L29*'Local food sourcing'!$I28</f>
        <v>1880767.6362221269</v>
      </c>
      <c r="M28" s="234">
        <f>'FIM interventions data'!Q29*'Assumptions data'!$N29*'Local food sourcing'!$I28</f>
        <v>4342269.1481316295</v>
      </c>
      <c r="N28" s="234">
        <f>'FIM interventions data'!R29*'Assumptions data'!$R28*'Local food sourcing'!$K28</f>
        <v>268799.46881137369</v>
      </c>
      <c r="O28" s="235">
        <f>'FIM interventions data'!S29*'Assumptions data'!$P28*'Local food sourcing'!$L28</f>
        <v>3237285.5726298522</v>
      </c>
      <c r="P28" s="247">
        <f>'FIM interventions data'!T29*'Assumptions data'!$L29*'Local food sourcing'!$I28</f>
        <v>4951811.4704666892</v>
      </c>
      <c r="Q28" s="234">
        <f>'FIM interventions data'!U29*'Assumptions data'!$N29*'Local food sourcing'!$I28</f>
        <v>11432618.129671138</v>
      </c>
      <c r="R28" s="234">
        <f>'FIM interventions data'!V29*'Assumptions data'!$R28*'Local food sourcing'!$K28</f>
        <v>707713.31199061056</v>
      </c>
      <c r="S28" s="235">
        <f>'FIM interventions data'!W29*'Assumptions data'!$P28*'Local food sourcing'!$L28</f>
        <v>8523343.0876793098</v>
      </c>
      <c r="T28" s="247">
        <f>'FIM interventions data'!X29*'Assumptions data'!$L29*'Local food sourcing'!$I28</f>
        <v>170593.870517323</v>
      </c>
      <c r="U28" s="234">
        <f>'FIM interventions data'!Y29*'Assumptions data'!$N29*'Local food sourcing'!$I28</f>
        <v>393862.84969029855</v>
      </c>
      <c r="V28" s="234">
        <f>'FIM interventions data'!Z29*'Assumptions data'!$R28*'Local food sourcing'!$K28</f>
        <v>24381.290327625004</v>
      </c>
      <c r="W28" s="235">
        <f>'FIM interventions data'!AA29*'Assumptions data'!$P28*'Local food sourcing'!$L28</f>
        <v>293635.99477611936</v>
      </c>
      <c r="X28" s="118">
        <f>'FIM interventions data'!E29*'Assumptions data'!S29+D28</f>
        <v>200601394.90134311</v>
      </c>
      <c r="Y28" s="118">
        <f>'FIM interventions data'!G29*'Assumptions data'!T29+E28</f>
        <v>241269835.94258979</v>
      </c>
      <c r="Z28" s="118">
        <f>'FIM interventions data'!I29*'Assumptions data'!U28+F28</f>
        <v>167119460.75016221</v>
      </c>
      <c r="AA28" s="178">
        <f>'FIM interventions data'!K29*'Assumptions data'!$V29+G28</f>
        <v>179873548.22162229</v>
      </c>
      <c r="AB28" s="234">
        <f>'FIM interventions data'!L29*'Assumptions data'!$S29+H28</f>
        <v>49867989.836299807</v>
      </c>
      <c r="AC28" s="234">
        <f>'FIM interventions data'!M29*'Assumptions data'!$T29+I28</f>
        <v>59977856.746749021</v>
      </c>
      <c r="AD28" s="234">
        <f>'FIM interventions data'!N29*'Assumptions data'!$U28+J28</f>
        <v>41544634.19477047</v>
      </c>
      <c r="AE28" s="235">
        <f>'FIM interventions data'!O29*'Assumptions data'!$V29+K28</f>
        <v>44715203.89450185</v>
      </c>
      <c r="AF28" s="234">
        <f>'FIM interventions data'!P29*'Assumptions data'!$S29+L28</f>
        <v>46031787.896536551</v>
      </c>
      <c r="AG28" s="234">
        <f>'FIM interventions data'!Q29*'Assumptions data'!$T29+M28</f>
        <v>55363931.638678282</v>
      </c>
      <c r="AH28" s="234">
        <f>'FIM interventions data'!R29*'Assumptions data'!$U28+N28</f>
        <v>38348724.21708931</v>
      </c>
      <c r="AI28" s="235">
        <f>'FIM interventions data'!S29*'Assumptions data'!$V29+O28</f>
        <v>41275391.051030621</v>
      </c>
      <c r="AJ28" s="234">
        <f>'FIM interventions data'!T29*'Assumptions data'!$S29+P28</f>
        <v>121195585.73967221</v>
      </c>
      <c r="AK28" s="234">
        <f>'FIM interventions data'!U29*'Assumptions data'!$T29+Q28</f>
        <v>145765881.15330699</v>
      </c>
      <c r="AL28" s="234">
        <f>'FIM interventions data'!V29*'Assumptions data'!$U28+R28</f>
        <v>100967099.1773271</v>
      </c>
      <c r="AM28" s="235">
        <f>'FIM interventions data'!W29*'Assumptions data'!$V29+S28</f>
        <v>108672624.36791122</v>
      </c>
      <c r="AN28" s="234">
        <f>'FIM interventions data'!X29*'Assumptions data'!$S29+T28</f>
        <v>4175284.9809114803</v>
      </c>
      <c r="AO28" s="234">
        <f>'FIM interventions data'!Y29*'Assumptions data'!$T29+U28</f>
        <v>5021751.3335513063</v>
      </c>
      <c r="AP28" s="234">
        <f>'FIM interventions data'!Z29*'Assumptions data'!$U28+V28</f>
        <v>3478397.4200745006</v>
      </c>
      <c r="AQ28" s="235">
        <f>'FIM interventions data'!AA29*'Assumptions data'!$V29+W28</f>
        <v>3743858.9333955222</v>
      </c>
      <c r="AR28" s="118">
        <f>'FIM interventions data'!AB29*'Assumptions data'!$L29*'Local food sourcing'!$I28</f>
        <v>1988196.0050029177</v>
      </c>
      <c r="AS28" s="118">
        <f>'FIM interventions data'!AC29*'Assumptions data'!$N29*'Local food sourcing'!$I28</f>
        <v>4590297.0716277789</v>
      </c>
      <c r="AT28" s="118">
        <f>'FIM interventions data'!AD29*'Assumptions data'!$R28*'Local food sourcing'!$K28</f>
        <v>284153.14031624567</v>
      </c>
      <c r="AU28" s="178">
        <f>'FIM interventions data'!AE29*'Assumptions data'!$P28*'Local food sourcing'!$L28</f>
        <v>3422197.4679896571</v>
      </c>
      <c r="AV28" s="234">
        <f>'FIM interventions data'!AF29*'Assumptions data'!$L29*'Local food sourcing'!$I28</f>
        <v>1290174.7050518582</v>
      </c>
      <c r="AW28" s="234">
        <f>'FIM interventions data'!AG29*'Assumptions data'!$N29*'Local food sourcing'!$I28</f>
        <v>2978723.0009443094</v>
      </c>
      <c r="AX28" s="234">
        <f>'FIM interventions data'!AH29*'Assumptions data'!$R28*'Local food sourcing'!$K28</f>
        <v>184391.87739768819</v>
      </c>
      <c r="AY28" s="235">
        <f>'FIM interventions data'!AI29*'Assumptions data'!$P28*'Local food sourcing'!$L28</f>
        <v>2220723.0060731829</v>
      </c>
      <c r="AZ28" s="234">
        <f>'FIM interventions data'!AJ29*'Assumptions data'!$L29*'Local food sourcing'!$I28</f>
        <v>465383.6038213282</v>
      </c>
      <c r="BA28" s="234">
        <f>'FIM interventions data'!AK29*'Assumptions data'!$N29*'Local food sourcing'!$I28</f>
        <v>1074465.9925023287</v>
      </c>
      <c r="BB28" s="234">
        <f>'FIM interventions data'!AL29*'Assumptions data'!$R28*'Local food sourcing'!$K28</f>
        <v>66512.663814213753</v>
      </c>
      <c r="BC28" s="235">
        <f>'FIM interventions data'!AM29*'Assumptions data'!$P28*'Local food sourcing'!$L28</f>
        <v>801045.06126845058</v>
      </c>
      <c r="BD28" s="234">
        <f>'FIM interventions data'!AN29*'Assumptions data'!$L29*'Local food sourcing'!$I28</f>
        <v>609486.32832445786</v>
      </c>
      <c r="BE28" s="234">
        <f>'FIM interventions data'!AO29*'Assumptions data'!$N29*'Local food sourcing'!$I28</f>
        <v>1407166.7486832216</v>
      </c>
      <c r="BF28" s="234">
        <f>'FIM interventions data'!AP29*'Assumptions data'!$R28*'Local food sourcing'!$K28</f>
        <v>87107.837324599604</v>
      </c>
      <c r="BG28" s="235">
        <f>'FIM interventions data'!AQ29*'Assumptions data'!$P28*'Local food sourcing'!$L28</f>
        <v>1049082.9698469348</v>
      </c>
      <c r="BH28" s="234">
        <f>'FIM interventions data'!AR29*'Assumptions data'!$L29*'Local food sourcing'!$I28</f>
        <v>26696.079779950298</v>
      </c>
      <c r="BI28" s="234">
        <f>'FIM interventions data'!AS29*'Assumptions data'!$N29*'Local food sourcing'!$I28</f>
        <v>61635.239447967593</v>
      </c>
      <c r="BJ28" s="234">
        <f>'FIM interventions data'!AT29*'Assumptions data'!$R28*'Local food sourcing'!$K28</f>
        <v>3815.4059682836814</v>
      </c>
      <c r="BK28" s="235">
        <f>'FIM interventions data'!AU29*'Assumptions data'!$P28*'Local food sourcing'!$L28</f>
        <v>45950.829997800814</v>
      </c>
      <c r="BL28" s="118">
        <f>'FIM interventions data'!AB29*'Assumptions data'!$S29*'Assumptions data'!$W29+AR28</f>
        <v>36992871.918085538</v>
      </c>
      <c r="BM28" s="118">
        <f>'FIM interventions data'!AC29*'Assumptions data'!$T29*'Assumptions data'!$X29+AS28</f>
        <v>31558292.367440984</v>
      </c>
      <c r="BN28" s="234">
        <f>'FIM interventions data'!AD29*'Assumptions data'!$U28*'Assumptions data'!$Z29+AT28</f>
        <v>2296904.5508896527</v>
      </c>
      <c r="BO28" s="235">
        <f>'FIM interventions data'!AE29*'Assumptions data'!$V29*'Assumptions data'!$Y29+AU28</f>
        <v>23527607.592428897</v>
      </c>
      <c r="BP28" s="234">
        <f>'FIM interventions data'!AF29*'Assumptions data'!$S29*'Assumptions data'!$W29+AV28</f>
        <v>24005313.105871137</v>
      </c>
      <c r="BQ28" s="234">
        <f>'FIM interventions data'!AG29*'Assumptions data'!$T29*'Assumptions data'!$X29+AW28</f>
        <v>20478720.63149213</v>
      </c>
      <c r="BR28" s="234">
        <f>'FIM interventions data'!AH29*'Assumptions data'!$U28*'Assumptions data'!$Z29+AX28</f>
        <v>1490501.0089646464</v>
      </c>
      <c r="BS28" s="235">
        <f>'FIM interventions data'!AI29*'Assumptions data'!$V29*'Assumptions data'!$Y29+AY28</f>
        <v>15267470.666753134</v>
      </c>
      <c r="BT28" s="234">
        <f>'FIM interventions data'!AJ29*'Assumptions data'!$S29*'Assumptions data'!$W29+AZ28</f>
        <v>8659043.678600587</v>
      </c>
      <c r="BU28" s="234">
        <f>'FIM interventions data'!AK29*'Assumptions data'!$T29*'Assumptions data'!$X29+BA28</f>
        <v>7386953.6984535102</v>
      </c>
      <c r="BV28" s="234">
        <f>'FIM interventions data'!AL29*'Assumptions data'!$U28*'Assumptions data'!$Z29+BB28</f>
        <v>537644.03249822778</v>
      </c>
      <c r="BW28" s="235">
        <f>'FIM interventions data'!AM29*'Assumptions data'!$V29*'Assumptions data'!$Y29+BC28</f>
        <v>5507184.7962205978</v>
      </c>
      <c r="BX28" s="234">
        <f>'FIM interventions data'!AN29*'Assumptions data'!$S29*'Assumptions data'!$W29+BD28</f>
        <v>11340254.996386943</v>
      </c>
      <c r="BY28" s="234">
        <f>'FIM interventions data'!AO29*'Assumptions data'!$T29*'Assumptions data'!$X29+BE28</f>
        <v>9674271.3971971497</v>
      </c>
      <c r="BZ28" s="234">
        <f>'FIM interventions data'!AP29*'Assumptions data'!$U28*'Assumptions data'!$Z29+BF28</f>
        <v>704121.68504051352</v>
      </c>
      <c r="CA28" s="235">
        <f>'FIM interventions data'!AQ29*'Assumptions data'!$V29*'Assumptions data'!$Y29+BG28</f>
        <v>7212445.4176976783</v>
      </c>
      <c r="CB28" s="234">
        <f>'FIM interventions data'!AR29*'Assumptions data'!$S29*'Assumptions data'!$W29+BH28</f>
        <v>496713.9344057003</v>
      </c>
      <c r="CC28" s="234">
        <f>'FIM interventions data'!AS29*'Assumptions data'!$T29*'Assumptions data'!$X29+BI28</f>
        <v>423742.27120477724</v>
      </c>
      <c r="CD28" s="234">
        <f>'FIM interventions data'!AT29*'Assumptions data'!$U28*'Assumptions data'!$Z29+BJ28</f>
        <v>30841.19824362643</v>
      </c>
      <c r="CE28" s="234">
        <f>'FIM interventions data'!AU29*'Assumptions data'!$V29*'Assumptions data'!$Y29+BK28</f>
        <v>315911.95623488061</v>
      </c>
      <c r="CF28" s="247">
        <f>'FIM interventions data'!AV29*'Assumptions data'!$L29*'Local food sourcing'!$I28</f>
        <v>2542985.9631782281</v>
      </c>
      <c r="CG28" s="234">
        <f>'FIM interventions data'!AW29*'Assumptions data'!$N29*'Local food sourcing'!$I28</f>
        <v>5871182.2127167163</v>
      </c>
      <c r="CH28" s="234">
        <f>'FIM interventions data'!AX29*'Assumptions data'!$R28*'Local food sourcing'!$K28</f>
        <v>363443.76781713002</v>
      </c>
      <c r="CI28" s="234">
        <f>'FIM interventions data'!AY29*'Assumptions data'!$P28*'Local food sourcing'!$L28</f>
        <v>4377133.8954626862</v>
      </c>
      <c r="CJ28" s="247">
        <f>'FIM interventions data'!AV29*'Assumptions data'!$S29*'Assumptions data'!$W29+CF28</f>
        <v>47315432.577384897</v>
      </c>
      <c r="CK28" s="234">
        <f>'FIM interventions data'!AW29*'Assumptions data'!$T29*'Assumptions data'!$X29+CG28</f>
        <v>40364377.712427422</v>
      </c>
      <c r="CL28" s="234">
        <f>'FIM interventions data'!AX29*'Assumptions data'!$U28*'Assumptions data'!$Z29+CH28</f>
        <v>2937837.1231884677</v>
      </c>
      <c r="CM28" s="235">
        <f>'FIM interventions data'!AY29*'Assumptions data'!$V29*'Assumptions data'!$Y29+CI28</f>
        <v>30092795.531305969</v>
      </c>
    </row>
    <row r="29" spans="1:91">
      <c r="A29" s="9">
        <v>28</v>
      </c>
      <c r="B29" s="1" t="s">
        <v>449</v>
      </c>
      <c r="C29" s="1" t="s">
        <v>450</v>
      </c>
      <c r="D29" s="78">
        <f>'FIM interventions data'!E30*'Assumptions data'!L30*'Local food sourcing'!I29</f>
        <v>15955462.692027537</v>
      </c>
      <c r="E29" s="118">
        <f>'FIM interventions data'!G30*'Assumptions data'!N30*'Local food sourcing'!I29</f>
        <v>36837572.094192378</v>
      </c>
      <c r="F29" s="118">
        <f>'FIM interventions data'!I30*'Assumptions data'!$R29*'Local food sourcing'!$K29</f>
        <v>2280356.0703923996</v>
      </c>
      <c r="G29" s="178">
        <f>'FIM interventions data'!K30*'Assumptions data'!$P29*'Local food sourcing'!$L29</f>
        <v>27463461.29247953</v>
      </c>
      <c r="H29" s="247">
        <f>'FIM interventions data'!L30*'Assumptions data'!$L30*'Local food sourcing'!$I29</f>
        <v>3592484.8115511741</v>
      </c>
      <c r="I29" s="234">
        <f>'FIM interventions data'!M30*'Assumptions data'!$N30*'Local food sourcing'!$I29</f>
        <v>8294238.8320041038</v>
      </c>
      <c r="J29" s="234">
        <f>'FIM interventions data'!N30*'Assumptions data'!$R29*'Local food sourcing'!$K29</f>
        <v>513438.23152847734</v>
      </c>
      <c r="K29" s="235">
        <f>'FIM interventions data'!O30*'Assumptions data'!$P29*'Local food sourcing'!$L29</f>
        <v>6183591.7560168756</v>
      </c>
      <c r="L29" s="247">
        <f>'FIM interventions data'!P30*'Assumptions data'!$L30*'Local food sourcing'!$I29</f>
        <v>1990775.6014652529</v>
      </c>
      <c r="M29" s="234">
        <f>'FIM interventions data'!Q30*'Assumptions data'!$N30*'Local food sourcing'!$I29</f>
        <v>4596252.7792427428</v>
      </c>
      <c r="N29" s="234">
        <f>'FIM interventions data'!R30*'Assumptions data'!$R29*'Local food sourcing'!$K29</f>
        <v>284521.81645968254</v>
      </c>
      <c r="O29" s="235">
        <f>'FIM interventions data'!S30*'Assumptions data'!$P29*'Local food sourcing'!$L29</f>
        <v>3426637.6179847401</v>
      </c>
      <c r="P29" s="247">
        <f>'FIM interventions data'!T30*'Assumptions data'!$L30*'Local food sourcing'!$I29</f>
        <v>9058928.1978441235</v>
      </c>
      <c r="Q29" s="234">
        <f>'FIM interventions data'!U30*'Assumptions data'!$N30*'Local food sourcing'!$I29</f>
        <v>20915026.221767891</v>
      </c>
      <c r="R29" s="234">
        <f>'FIM interventions data'!V30*'Assumptions data'!$R29*'Local food sourcing'!$K29</f>
        <v>1294702.7802286614</v>
      </c>
      <c r="S29" s="235">
        <f>'FIM interventions data'!W30*'Assumptions data'!$P29*'Local food sourcing'!$L29</f>
        <v>15592748.935896173</v>
      </c>
      <c r="T29" s="247">
        <f>'FIM interventions data'!X30*'Assumptions data'!$L30*'Local food sourcing'!$I29</f>
        <v>151364.03048757926</v>
      </c>
      <c r="U29" s="234">
        <f>'FIM interventions data'!Y30*'Assumptions data'!$N30*'Local food sourcing'!$I29</f>
        <v>349465.47732143401</v>
      </c>
      <c r="V29" s="234">
        <f>'FIM interventions data'!Z30*'Assumptions data'!$R29*'Local food sourcing'!$K29</f>
        <v>21632.959972629291</v>
      </c>
      <c r="W29" s="235">
        <f>'FIM interventions data'!AA30*'Assumptions data'!$P29*'Local food sourcing'!$L29</f>
        <v>260536.48663203244</v>
      </c>
      <c r="X29" s="118">
        <f>'FIM interventions data'!E30*'Assumptions data'!S30+D29</f>
        <v>390509949.38737392</v>
      </c>
      <c r="Y29" s="118">
        <f>'FIM interventions data'!G30*'Assumptions data'!T30+E29</f>
        <v>469679044.20095283</v>
      </c>
      <c r="Z29" s="118">
        <f>'FIM interventions data'!I30*'Assumptions data'!U29+F29</f>
        <v>325330799.37598234</v>
      </c>
      <c r="AA29" s="178">
        <f>'FIM interventions data'!K30*'Assumptions data'!$V30+G29</f>
        <v>350159131.479114</v>
      </c>
      <c r="AB29" s="234">
        <f>'FIM interventions data'!L30*'Assumptions data'!$S30+H29</f>
        <v>87926065.762714967</v>
      </c>
      <c r="AC29" s="234">
        <f>'FIM interventions data'!M30*'Assumptions data'!$T30+I29</f>
        <v>105751545.10805233</v>
      </c>
      <c r="AD29" s="234">
        <f>'FIM interventions data'!N30*'Assumptions data'!$U29+J29</f>
        <v>73250521.031396091</v>
      </c>
      <c r="AE29" s="235">
        <f>'FIM interventions data'!O30*'Assumptions data'!$V30+K29</f>
        <v>78840794.889215171</v>
      </c>
      <c r="AF29" s="234">
        <f>'FIM interventions data'!P30*'Assumptions data'!$S30+L29</f>
        <v>48724232.845862068</v>
      </c>
      <c r="AG29" s="234">
        <f>'FIM interventions data'!Q30*'Assumptions data'!$T30+M29</f>
        <v>58602222.935344979</v>
      </c>
      <c r="AH29" s="234">
        <f>'FIM interventions data'!R30*'Assumptions data'!$U29+N29</f>
        <v>40591779.148248047</v>
      </c>
      <c r="AI29" s="235">
        <f>'FIM interventions data'!S30*'Assumptions data'!$V30+O29</f>
        <v>43689629.629305437</v>
      </c>
      <c r="AJ29" s="234">
        <f>'FIM interventions data'!T30*'Assumptions data'!$S30+P29</f>
        <v>221717267.64223495</v>
      </c>
      <c r="AK29" s="234">
        <f>'FIM interventions data'!U30*'Assumptions data'!$T30+Q29</f>
        <v>266666584.32754064</v>
      </c>
      <c r="AL29" s="234">
        <f>'FIM interventions data'!V30*'Assumptions data'!$U29+R29</f>
        <v>184710929.97928905</v>
      </c>
      <c r="AM29" s="235">
        <f>'FIM interventions data'!W30*'Assumptions data'!$V30+S29</f>
        <v>198807548.93267626</v>
      </c>
      <c r="AN29" s="234">
        <f>'FIM interventions data'!X30*'Assumptions data'!$S30+T29</f>
        <v>3704634.6461835024</v>
      </c>
      <c r="AO29" s="234">
        <f>'FIM interventions data'!Y30*'Assumptions data'!$T30+U29</f>
        <v>4455684.835848284</v>
      </c>
      <c r="AP29" s="234">
        <f>'FIM interventions data'!Z30*'Assumptions data'!$U29+V29</f>
        <v>3086302.2894284455</v>
      </c>
      <c r="AQ29" s="235">
        <f>'FIM interventions data'!AA30*'Assumptions data'!$V30+W29</f>
        <v>3321840.2045584139</v>
      </c>
      <c r="AR29" s="118">
        <f>'FIM interventions data'!AB30*'Assumptions data'!$L30*'Local food sourcing'!$I29</f>
        <v>4639310.1439859578</v>
      </c>
      <c r="AS29" s="118">
        <f>'FIM interventions data'!AC30*'Assumptions data'!$N30*'Local food sourcing'!$I29</f>
        <v>10711122.904746274</v>
      </c>
      <c r="AT29" s="118">
        <f>'FIM interventions data'!AD30*'Assumptions data'!$R29*'Local food sourcing'!$K29</f>
        <v>663050.59611700056</v>
      </c>
      <c r="AU29" s="178">
        <f>'FIM interventions data'!AE30*'Assumptions data'!$P29*'Local food sourcing'!$L29</f>
        <v>7985447.8069651769</v>
      </c>
      <c r="AV29" s="234">
        <f>'FIM interventions data'!AF30*'Assumptions data'!$L30*'Local food sourcing'!$I29</f>
        <v>2934865.6464970568</v>
      </c>
      <c r="AW29" s="234">
        <f>'FIM interventions data'!AG30*'Assumptions data'!$N30*'Local food sourcing'!$I29</f>
        <v>6775944.197069563</v>
      </c>
      <c r="AX29" s="234">
        <f>'FIM interventions data'!AH30*'Assumptions data'!$R29*'Local food sourcing'!$K29</f>
        <v>419451.24512871308</v>
      </c>
      <c r="AY29" s="235">
        <f>'FIM interventions data'!AI30*'Assumptions data'!$P29*'Local food sourcing'!$L29</f>
        <v>5051659.7755246563</v>
      </c>
      <c r="AZ29" s="234">
        <f>'FIM interventions data'!AJ30*'Assumptions data'!$L30*'Local food sourcing'!$I29</f>
        <v>299217.91469864117</v>
      </c>
      <c r="BA29" s="234">
        <f>'FIM interventions data'!AK30*'Assumptions data'!$N30*'Local food sourcing'!$I29</f>
        <v>690826.81695546769</v>
      </c>
      <c r="BB29" s="234">
        <f>'FIM interventions data'!AL30*'Assumptions data'!$R29*'Local food sourcing'!$K29</f>
        <v>42764.249544084865</v>
      </c>
      <c r="BC29" s="235">
        <f>'FIM interventions data'!AM30*'Assumptions data'!$P29*'Local food sourcing'!$L29</f>
        <v>515031.10733658896</v>
      </c>
      <c r="BD29" s="234">
        <f>'FIM interventions data'!AN30*'Assumptions data'!$L30*'Local food sourcing'!$I29</f>
        <v>669113.61803974793</v>
      </c>
      <c r="BE29" s="234">
        <f>'FIM interventions data'!AO30*'Assumptions data'!$N30*'Local food sourcing'!$I29</f>
        <v>1544832.7397024499</v>
      </c>
      <c r="BF29" s="234">
        <f>'FIM interventions data'!AP30*'Assumptions data'!$R29*'Local food sourcing'!$K29</f>
        <v>95629.774587581604</v>
      </c>
      <c r="BG29" s="235">
        <f>'FIM interventions data'!AQ30*'Assumptions data'!$P29*'Local food sourcing'!$L29</f>
        <v>1151716.8949595911</v>
      </c>
      <c r="BH29" s="234">
        <f>'FIM interventions data'!AR30*'Assumptions data'!$L30*'Local food sourcing'!$I29</f>
        <v>41812.590645365184</v>
      </c>
      <c r="BI29" s="234">
        <f>'FIM interventions data'!AS30*'Assumptions data'!$N30*'Local food sourcing'!$I29</f>
        <v>96535.860606112226</v>
      </c>
      <c r="BJ29" s="234">
        <f>'FIM interventions data'!AT30*'Assumptions data'!$R29*'Local food sourcing'!$K29</f>
        <v>5975.8589730295516</v>
      </c>
      <c r="BK29" s="235">
        <f>'FIM interventions data'!AU30*'Assumptions data'!$P29*'Local food sourcing'!$L29</f>
        <v>71970.239089403462</v>
      </c>
      <c r="BL29" s="118">
        <f>'FIM interventions data'!AB30*'Assumptions data'!$S30*'Assumptions data'!$W30+AR29</f>
        <v>86320164.366538733</v>
      </c>
      <c r="BM29" s="118">
        <f>'FIM interventions data'!AC30*'Assumptions data'!$T30*'Assumptions data'!$X30+AS29</f>
        <v>73638969.970130637</v>
      </c>
      <c r="BN29" s="234">
        <f>'FIM interventions data'!AD30*'Assumptions data'!$U29*'Assumptions data'!$Z30+AT29</f>
        <v>5359658.9852790888</v>
      </c>
      <c r="BO29" s="235">
        <f>'FIM interventions data'!AE30*'Assumptions data'!$V30*'Assumptions data'!$Y30+AU29</f>
        <v>54899953.672885597</v>
      </c>
      <c r="BP29" s="234">
        <f>'FIM interventions data'!AF30*'Assumptions data'!$S30*'Assumptions data'!$W30+AV29</f>
        <v>54606843.935135864</v>
      </c>
      <c r="BQ29" s="234">
        <f>'FIM interventions data'!AG30*'Assumptions data'!$T30*'Assumptions data'!$X30+AW29</f>
        <v>46584616.35485325</v>
      </c>
      <c r="BR29" s="234">
        <f>'FIM interventions data'!AH30*'Assumptions data'!$U29*'Assumptions data'!$Z30+AX29</f>
        <v>3390564.2314570975</v>
      </c>
      <c r="BS29" s="235">
        <f>'FIM interventions data'!AI30*'Assumptions data'!$V30*'Assumptions data'!$Y30+AY29</f>
        <v>34730160.956732012</v>
      </c>
      <c r="BT29" s="234">
        <f>'FIM interventions data'!AJ30*'Assumptions data'!$S30*'Assumptions data'!$W30+AZ29</f>
        <v>5567323.3253615918</v>
      </c>
      <c r="BU29" s="234">
        <f>'FIM interventions data'!AK30*'Assumptions data'!$T30*'Assumptions data'!$X30+BA29</f>
        <v>4749434.366568841</v>
      </c>
      <c r="BV29" s="234">
        <f>'FIM interventions data'!AL30*'Assumptions data'!$U29*'Assumptions data'!$Z30+BB29</f>
        <v>345677.68381468602</v>
      </c>
      <c r="BW29" s="235">
        <f>'FIM interventions data'!AM30*'Assumptions data'!$V30*'Assumptions data'!$Y30+BC29</f>
        <v>3540838.8629390495</v>
      </c>
      <c r="BX29" s="234">
        <f>'FIM interventions data'!AN30*'Assumptions data'!$S30*'Assumptions data'!$W30+BD29</f>
        <v>12449695.255652061</v>
      </c>
      <c r="BY29" s="234">
        <f>'FIM interventions data'!AO30*'Assumptions data'!$T30*'Assumptions data'!$X30+BE29</f>
        <v>10620725.085454343</v>
      </c>
      <c r="BZ29" s="234">
        <f>'FIM interventions data'!AP30*'Assumptions data'!$U29*'Assumptions data'!$Z30+BF29</f>
        <v>773007.34458295139</v>
      </c>
      <c r="CA29" s="235">
        <f>'FIM interventions data'!AQ30*'Assumptions data'!$V30*'Assumptions data'!$Y30+BG29</f>
        <v>7918053.6528471904</v>
      </c>
      <c r="CB29" s="234">
        <f>'FIM interventions data'!AR30*'Assumptions data'!$S30*'Assumptions data'!$W30+BH29</f>
        <v>777975.5146953261</v>
      </c>
      <c r="CC29" s="234">
        <f>'FIM interventions data'!AS30*'Assumptions data'!$T30*'Assumptions data'!$X30+BI29</f>
        <v>663684.04166702158</v>
      </c>
      <c r="CD29" s="234">
        <f>'FIM interventions data'!AT30*'Assumptions data'!$U29*'Assumptions data'!$Z30+BJ29</f>
        <v>48304.860031988872</v>
      </c>
      <c r="CE29" s="234">
        <f>'FIM interventions data'!AU30*'Assumptions data'!$V30*'Assumptions data'!$Y30+BK29</f>
        <v>494795.3937396488</v>
      </c>
      <c r="CF29" s="247">
        <f>'FIM interventions data'!AV30*'Assumptions data'!$L30*'Local food sourcing'!$I29</f>
        <v>4014767.3981562797</v>
      </c>
      <c r="CG29" s="234">
        <f>'FIM interventions data'!AW30*'Assumptions data'!$N30*'Local food sourcing'!$I29</f>
        <v>9269194.2769477591</v>
      </c>
      <c r="CH29" s="234">
        <f>'FIM interventions data'!AX30*'Assumptions data'!$R29*'Local food sourcing'!$K29</f>
        <v>573790.89433575014</v>
      </c>
      <c r="CI29" s="234">
        <f>'FIM interventions data'!AY30*'Assumptions data'!$P29*'Local food sourcing'!$L29</f>
        <v>6910448.8641791036</v>
      </c>
      <c r="CJ29" s="247">
        <f>'FIM interventions data'!AV30*'Assumptions data'!$S30*'Assumptions data'!$W30+CF29</f>
        <v>74699765.901945278</v>
      </c>
      <c r="CK29" s="234">
        <f>'FIM interventions data'!AW30*'Assumptions data'!$T30*'Assumptions data'!$X30+CG29</f>
        <v>63725710.654015854</v>
      </c>
      <c r="CL29" s="234">
        <f>'FIM interventions data'!AX30*'Assumptions data'!$U29*'Assumptions data'!$Z30+CH29</f>
        <v>4638143.062547313</v>
      </c>
      <c r="CM29" s="235">
        <f>'FIM interventions data'!AY30*'Assumptions data'!$V30*'Assumptions data'!$Y30+CI29</f>
        <v>47509335.94123134</v>
      </c>
    </row>
    <row r="30" spans="1:91">
      <c r="A30" s="9">
        <v>29</v>
      </c>
      <c r="B30" s="1" t="s">
        <v>454</v>
      </c>
      <c r="C30" s="1" t="s">
        <v>455</v>
      </c>
      <c r="D30" s="78">
        <f>'FIM interventions data'!E31*'Assumptions data'!L31*'Local food sourcing'!I30</f>
        <v>14011645.123763606</v>
      </c>
      <c r="E30" s="118">
        <f>'FIM interventions data'!G31*'Assumptions data'!N31*'Local food sourcing'!I30</f>
        <v>32349734.844279259</v>
      </c>
      <c r="F30" s="118">
        <f>'FIM interventions data'!I31*'Assumptions data'!$R30*'Local food sourcing'!$K30</f>
        <v>2002545.4999887676</v>
      </c>
      <c r="G30" s="178">
        <f>'FIM interventions data'!K31*'Assumptions data'!$P30*'Local food sourcing'!$L30</f>
        <v>24117650.545647819</v>
      </c>
      <c r="H30" s="247">
        <f>'FIM interventions data'!L31*'Assumptions data'!$L31*'Local food sourcing'!$I30</f>
        <v>1773143.2140159365</v>
      </c>
      <c r="I30" s="234">
        <f>'FIM interventions data'!M31*'Assumptions data'!$N31*'Local food sourcing'!$I30</f>
        <v>4093788.5814040136</v>
      </c>
      <c r="J30" s="234">
        <f>'FIM interventions data'!N31*'Assumptions data'!$R30*'Local food sourcing'!$K30</f>
        <v>253417.77733444833</v>
      </c>
      <c r="K30" s="235">
        <f>'FIM interventions data'!O31*'Assumptions data'!$P30*'Local food sourcing'!$L30</f>
        <v>3052036.2188231414</v>
      </c>
      <c r="L30" s="247">
        <f>'FIM interventions data'!P31*'Assumptions data'!$L31*'Local food sourcing'!$I30</f>
        <v>3233170.425765371</v>
      </c>
      <c r="M30" s="234">
        <f>'FIM interventions data'!Q31*'Assumptions data'!$N31*'Local food sourcing'!$I30</f>
        <v>7464662.7898452803</v>
      </c>
      <c r="N30" s="234">
        <f>'FIM interventions data'!R31*'Assumptions data'!$R30*'Local food sourcing'!$K30</f>
        <v>462084.98928026698</v>
      </c>
      <c r="O30" s="235">
        <f>'FIM interventions data'!S31*'Assumptions data'!$P30*'Local food sourcing'!$L30</f>
        <v>5565119.1415692726</v>
      </c>
      <c r="P30" s="247">
        <f>'FIM interventions data'!T31*'Assumptions data'!$L31*'Local food sourcing'!$I30</f>
        <v>7162812.1505406201</v>
      </c>
      <c r="Q30" s="234">
        <f>'FIM interventions data'!U31*'Assumptions data'!$N31*'Local food sourcing'!$I30</f>
        <v>16537321.047075653</v>
      </c>
      <c r="R30" s="234">
        <f>'FIM interventions data'!V31*'Assumptions data'!$R30*'Local food sourcing'!$K30</f>
        <v>1023709.7152141652</v>
      </c>
      <c r="S30" s="235">
        <f>'FIM interventions data'!W31*'Assumptions data'!$P30*'Local food sourcing'!$L30</f>
        <v>12329044.794167409</v>
      </c>
      <c r="T30" s="247">
        <f>'FIM interventions data'!X31*'Assumptions data'!$L31*'Local food sourcing'!$I30</f>
        <v>116308.33471522917</v>
      </c>
      <c r="U30" s="234">
        <f>'FIM interventions data'!Y31*'Assumptions data'!$N31*'Local food sourcing'!$I30</f>
        <v>268529.76613260841</v>
      </c>
      <c r="V30" s="234">
        <f>'FIM interventions data'!Z31*'Assumptions data'!$R30*'Local food sourcing'!$K30</f>
        <v>16622.796983357217</v>
      </c>
      <c r="W30" s="235">
        <f>'FIM interventions data'!AA31*'Assumptions data'!$P30*'Local food sourcing'!$L30</f>
        <v>200196.60414113279</v>
      </c>
      <c r="X30" s="118">
        <f>'FIM interventions data'!E31*'Assumptions data'!S31+D30</f>
        <v>178473329.7639389</v>
      </c>
      <c r="Y30" s="118">
        <f>'FIM interventions data'!G31*'Assumptions data'!T31+E30</f>
        <v>222404427.05441993</v>
      </c>
      <c r="Z30" s="118">
        <f>'FIM interventions data'!I31*'Assumptions data'!U30+F30</f>
        <v>143849518.41585979</v>
      </c>
      <c r="AA30" s="178">
        <f>'FIM interventions data'!K31*'Assumptions data'!$V31+G30</f>
        <v>165808847.50132877</v>
      </c>
      <c r="AB30" s="234">
        <f>'FIM interventions data'!L31*'Assumptions data'!$S31+H30</f>
        <v>22585411.688527994</v>
      </c>
      <c r="AC30" s="234">
        <f>'FIM interventions data'!M31*'Assumptions data'!$T31+I30</f>
        <v>28144796.497152597</v>
      </c>
      <c r="AD30" s="234">
        <f>'FIM interventions data'!N31*'Assumptions data'!$U30+J30</f>
        <v>18203843.671857871</v>
      </c>
      <c r="AE30" s="235">
        <f>'FIM interventions data'!O31*'Assumptions data'!$V31+K30</f>
        <v>20982749.004409101</v>
      </c>
      <c r="AF30" s="234">
        <f>'FIM interventions data'!P31*'Assumptions data'!$S31+L30</f>
        <v>41182508.298186414</v>
      </c>
      <c r="AG30" s="234">
        <f>'FIM interventions data'!Q31*'Assumptions data'!$T31+M30</f>
        <v>51319556.680186309</v>
      </c>
      <c r="AH30" s="234">
        <f>'FIM interventions data'!R31*'Assumptions data'!$U30+N30</f>
        <v>33193105.063299183</v>
      </c>
      <c r="AI30" s="235">
        <f>'FIM interventions data'!S31*'Assumptions data'!$V31+O30</f>
        <v>38260194.098288752</v>
      </c>
      <c r="AJ30" s="234">
        <f>'FIM interventions data'!T31*'Assumptions data'!$S31+P30</f>
        <v>91236319.767511159</v>
      </c>
      <c r="AK30" s="234">
        <f>'FIM interventions data'!U31*'Assumptions data'!$T31+Q30</f>
        <v>113694082.19864514</v>
      </c>
      <c r="AL30" s="234">
        <f>'FIM interventions data'!V31*'Assumptions data'!$U30+R30</f>
        <v>73536481.209550858</v>
      </c>
      <c r="AM30" s="235">
        <f>'FIM interventions data'!W31*'Assumptions data'!$V31+S30</f>
        <v>84762182.959900945</v>
      </c>
      <c r="AN30" s="234">
        <f>'FIM interventions data'!X31*'Assumptions data'!$S31+T30</f>
        <v>1481477.4134352314</v>
      </c>
      <c r="AO30" s="234">
        <f>'FIM interventions data'!Y31*'Assumptions data'!$T31+U30</f>
        <v>1846142.1421616827</v>
      </c>
      <c r="AP30" s="234">
        <f>'FIM interventions data'!Z31*'Assumptions data'!$U30+V30</f>
        <v>1194070.9166378267</v>
      </c>
      <c r="AQ30" s="235">
        <f>'FIM interventions data'!AA31*'Assumptions data'!$V31+W30</f>
        <v>1376351.653470288</v>
      </c>
      <c r="AR30" s="118">
        <f>'FIM interventions data'!AB31*'Assumptions data'!$L31*'Local food sourcing'!$I30</f>
        <v>3004238.7023705002</v>
      </c>
      <c r="AS30" s="118">
        <f>'FIM interventions data'!AC31*'Assumptions data'!$N31*'Local food sourcing'!$I30</f>
        <v>6936110.96856716</v>
      </c>
      <c r="AT30" s="118">
        <f>'FIM interventions data'!AD31*'Assumptions data'!$R30*'Local food sourcing'!$K30</f>
        <v>429366.04811099969</v>
      </c>
      <c r="AU30" s="178">
        <f>'FIM interventions data'!AE31*'Assumptions data'!$P30*'Local food sourcing'!$L30</f>
        <v>5171068.6746268626</v>
      </c>
      <c r="AV30" s="234">
        <f>'FIM interventions data'!AF31*'Assumptions data'!$L31*'Local food sourcing'!$I30</f>
        <v>1966009.9932385408</v>
      </c>
      <c r="AW30" s="234">
        <f>'FIM interventions data'!AG31*'Assumptions data'!$N31*'Local food sourcing'!$I30</f>
        <v>4539074.56409992</v>
      </c>
      <c r="AX30" s="234">
        <f>'FIM interventions data'!AH31*'Assumptions data'!$R30*'Local food sourcing'!$K30</f>
        <v>280982.31364821206</v>
      </c>
      <c r="AY30" s="235">
        <f>'FIM interventions data'!AI31*'Assumptions data'!$P30*'Local food sourcing'!$L30</f>
        <v>3384009.6268040854</v>
      </c>
      <c r="AZ30" s="234">
        <f>'FIM interventions data'!AJ31*'Assumptions data'!$L31*'Local food sourcing'!$I30</f>
        <v>889672.06512940698</v>
      </c>
      <c r="BA30" s="234">
        <f>'FIM interventions data'!AK31*'Assumptions data'!$N31*'Local food sourcing'!$I30</f>
        <v>2054052.5506520984</v>
      </c>
      <c r="BB30" s="234">
        <f>'FIM interventions data'!AL31*'Assumptions data'!$R30*'Local food sourcing'!$K30</f>
        <v>127152.00640280402</v>
      </c>
      <c r="BC30" s="235">
        <f>'FIM interventions data'!AM31*'Assumptions data'!$P30*'Local food sourcing'!$L30</f>
        <v>1531354.7964917663</v>
      </c>
      <c r="BD30" s="234">
        <f>'FIM interventions data'!AN31*'Assumptions data'!$L31*'Local food sourcing'!$I30</f>
        <v>779463.88211214903</v>
      </c>
      <c r="BE30" s="234">
        <f>'FIM interventions data'!AO31*'Assumptions data'!$N31*'Local food sourcing'!$I30</f>
        <v>1799606.6617656075</v>
      </c>
      <c r="BF30" s="234">
        <f>'FIM interventions data'!AP31*'Assumptions data'!$R30*'Local food sourcing'!$K30</f>
        <v>111401.04361337049</v>
      </c>
      <c r="BG30" s="235">
        <f>'FIM interventions data'!AQ31*'Assumptions data'!$P30*'Local food sourcing'!$L30</f>
        <v>1341658.1247731009</v>
      </c>
      <c r="BH30" s="234">
        <f>'FIM interventions data'!AR31*'Assumptions data'!$L31*'Local food sourcing'!$I30</f>
        <v>26161.728477611879</v>
      </c>
      <c r="BI30" s="234">
        <f>'FIM interventions data'!AS31*'Assumptions data'!$N31*'Local food sourcing'!$I30</f>
        <v>60401.542562865492</v>
      </c>
      <c r="BJ30" s="234">
        <f>'FIM interventions data'!AT31*'Assumptions data'!$R30*'Local food sourcing'!$K30</f>
        <v>3739.0364351946569</v>
      </c>
      <c r="BK30" s="235">
        <f>'FIM interventions data'!AU31*'Assumptions data'!$P30*'Local food sourcing'!$L30</f>
        <v>45031.073761857246</v>
      </c>
      <c r="BL30" s="118">
        <f>'FIM interventions data'!AB31*'Assumptions data'!$S31*'Assumptions data'!$W31+AR30</f>
        <v>29450927.529175811</v>
      </c>
      <c r="BM30" s="118">
        <f>'FIM interventions data'!AC31*'Assumptions data'!$T31*'Assumptions data'!$X31+AS30</f>
        <v>27310936.938733194</v>
      </c>
      <c r="BN30" s="234">
        <f>'FIM interventions data'!AD31*'Assumptions data'!$U30*'Assumptions data'!$Z31+AT30</f>
        <v>1950037.4685041239</v>
      </c>
      <c r="BO30" s="235">
        <f>'FIM interventions data'!AE31*'Assumptions data'!$V31*'Assumptions data'!$Y31+AU30</f>
        <v>20361082.906343274</v>
      </c>
      <c r="BP30" s="234">
        <f>'FIM interventions data'!AF31*'Assumptions data'!$S31*'Assumptions data'!$W31+AV30</f>
        <v>19273041.714966573</v>
      </c>
      <c r="BQ30" s="234">
        <f>'FIM interventions data'!AG31*'Assumptions data'!$T31*'Assumptions data'!$X31+AW30</f>
        <v>17872606.096143436</v>
      </c>
      <c r="BR30" s="234">
        <f>'FIM interventions data'!AH31*'Assumptions data'!$U30*'Assumptions data'!$Z31+AX30</f>
        <v>1276128.0078189631</v>
      </c>
      <c r="BS30" s="235">
        <f>'FIM interventions data'!AI31*'Assumptions data'!$V31*'Assumptions data'!$Y31+AY30</f>
        <v>13324537.905541087</v>
      </c>
      <c r="BT30" s="234">
        <f>'FIM interventions data'!AJ31*'Assumptions data'!$S31*'Assumptions data'!$W31+AZ30</f>
        <v>8721566.4634717181</v>
      </c>
      <c r="BU30" s="234">
        <f>'FIM interventions data'!AK31*'Assumptions data'!$T31*'Assumptions data'!$X31+BA30</f>
        <v>8087831.9181926381</v>
      </c>
      <c r="BV30" s="234">
        <f>'FIM interventions data'!AL31*'Assumptions data'!$U30*'Assumptions data'!$Z31+BB30</f>
        <v>577482.02907940163</v>
      </c>
      <c r="BW30" s="235">
        <f>'FIM interventions data'!AM31*'Assumptions data'!$V31*'Assumptions data'!$Y31+BC30</f>
        <v>6029709.5111863306</v>
      </c>
      <c r="BX30" s="234">
        <f>'FIM interventions data'!AN31*'Assumptions data'!$S31*'Assumptions data'!$W31+BD30</f>
        <v>7641181.8693306614</v>
      </c>
      <c r="BY30" s="234">
        <f>'FIM interventions data'!AO31*'Assumptions data'!$T31*'Assumptions data'!$X31+BE30</f>
        <v>7085951.2307020798</v>
      </c>
      <c r="BZ30" s="234">
        <f>'FIM interventions data'!AP31*'Assumptions data'!$U30*'Assumptions data'!$Z31+BF30</f>
        <v>505946.40641072433</v>
      </c>
      <c r="CA30" s="235">
        <f>'FIM interventions data'!AQ31*'Assumptions data'!$V31*'Assumptions data'!$Y31+BG30</f>
        <v>5282778.866294085</v>
      </c>
      <c r="CB30" s="234">
        <f>'FIM interventions data'!AR31*'Assumptions data'!$S31*'Assumptions data'!$W31+BH30</f>
        <v>256466.69448208893</v>
      </c>
      <c r="CC30" s="234">
        <f>'FIM interventions data'!AS31*'Assumptions data'!$T31*'Assumptions data'!$X31+BI30</f>
        <v>237831.07384128292</v>
      </c>
      <c r="CD30" s="234">
        <f>'FIM interventions data'!AT31*'Assumptions data'!$U30*'Assumptions data'!$Z31+BJ30</f>
        <v>16981.457143175732</v>
      </c>
      <c r="CE30" s="234">
        <f>'FIM interventions data'!AU31*'Assumptions data'!$V31*'Assumptions data'!$Y31+BK30</f>
        <v>177309.85293731291</v>
      </c>
      <c r="CF30" s="247">
        <f>'FIM interventions data'!AV31*'Assumptions data'!$L31*'Local food sourcing'!$I30</f>
        <v>2049848.3724811254</v>
      </c>
      <c r="CG30" s="234">
        <f>'FIM interventions data'!AW31*'Assumptions data'!$N31*'Local food sourcing'!$I30</f>
        <v>4732638.5113962991</v>
      </c>
      <c r="CH30" s="234">
        <f>'FIM interventions data'!AX31*'Assumptions data'!$R30*'Local food sourcing'!$K30</f>
        <v>292964.50186348811</v>
      </c>
      <c r="CI30" s="234">
        <f>'FIM interventions data'!AY31*'Assumptions data'!$P30*'Local food sourcing'!$L30</f>
        <v>3528317.0735761197</v>
      </c>
      <c r="CJ30" s="247">
        <f>'FIM interventions data'!AV31*'Assumptions data'!$S31*'Assumptions data'!$W31+CF30</f>
        <v>20094919.826479033</v>
      </c>
      <c r="CK30" s="234">
        <f>'FIM interventions data'!AW31*'Assumptions data'!$T31*'Assumptions data'!$X31+CG30</f>
        <v>18634764.138622928</v>
      </c>
      <c r="CL30" s="234">
        <f>'FIM interventions data'!AX31*'Assumptions data'!$U30*'Assumptions data'!$Z31+CH30</f>
        <v>1330547.1126300085</v>
      </c>
      <c r="CM30" s="235">
        <f>'FIM interventions data'!AY31*'Assumptions data'!$V31*'Assumptions data'!$Y31+CI30</f>
        <v>13892748.477205973</v>
      </c>
    </row>
    <row r="31" spans="1:91">
      <c r="A31" s="9">
        <v>30</v>
      </c>
      <c r="B31" s="1" t="s">
        <v>459</v>
      </c>
      <c r="C31" s="1" t="s">
        <v>460</v>
      </c>
      <c r="D31" s="78">
        <f>'FIM interventions data'!E32*'Assumptions data'!L32*'Local food sourcing'!I31</f>
        <v>47561322.532845221</v>
      </c>
      <c r="E31" s="118">
        <f>'FIM interventions data'!G32*'Assumptions data'!N32*'Local food sourcing'!I31</f>
        <v>109808388.60751221</v>
      </c>
      <c r="F31" s="118">
        <f>'FIM interventions data'!I32*'Assumptions data'!$R31*'Local food sourcing'!$K31</f>
        <v>6797468.2180703552</v>
      </c>
      <c r="G31" s="178">
        <f>'FIM interventions data'!K32*'Assumptions data'!$P31*'Local food sourcing'!$L31</f>
        <v>81865287.495084494</v>
      </c>
      <c r="H31" s="247">
        <f>'FIM interventions data'!L32*'Assumptions data'!$L32*'Local food sourcing'!$I31</f>
        <v>16847389.147280384</v>
      </c>
      <c r="I31" s="234">
        <f>'FIM interventions data'!M32*'Assumptions data'!$N32*'Local food sourcing'!$I31</f>
        <v>38896829.524220511</v>
      </c>
      <c r="J31" s="234">
        <f>'FIM interventions data'!N32*'Assumptions data'!$R31*'Local food sourcing'!$K31</f>
        <v>2407830.274421325</v>
      </c>
      <c r="K31" s="235">
        <f>'FIM interventions data'!O32*'Assumptions data'!$P31*'Local food sourcing'!$L31</f>
        <v>28998696.475086603</v>
      </c>
      <c r="L31" s="247">
        <f>'FIM interventions data'!P32*'Assumptions data'!$L32*'Local food sourcing'!$I31</f>
        <v>17118438.143113974</v>
      </c>
      <c r="M31" s="234">
        <f>'FIM interventions data'!Q32*'Assumptions data'!$N32*'Local food sourcing'!$I31</f>
        <v>39522620.647787705</v>
      </c>
      <c r="N31" s="234">
        <f>'FIM interventions data'!R32*'Assumptions data'!$R31*'Local food sourcing'!$K31</f>
        <v>2446568.6197111625</v>
      </c>
      <c r="O31" s="235">
        <f>'FIM interventions data'!S32*'Assumptions data'!$P31*'Local food sourcing'!$L31</f>
        <v>29465241.61696836</v>
      </c>
      <c r="P31" s="247">
        <f>'FIM interventions data'!T32*'Assumptions data'!$L32*'Local food sourcing'!$I31</f>
        <v>38007513.603435226</v>
      </c>
      <c r="Q31" s="234">
        <f>'FIM interventions data'!U32*'Assumptions data'!$N32*'Local food sourcing'!$I31</f>
        <v>87750794.164504722</v>
      </c>
      <c r="R31" s="234">
        <f>'FIM interventions data'!V32*'Assumptions data'!$R31*'Local food sourcing'!$K31</f>
        <v>5432037.0420484245</v>
      </c>
      <c r="S31" s="235">
        <f>'FIM interventions data'!W32*'Assumptions data'!$P31*'Local food sourcing'!$L31</f>
        <v>65420721.342847481</v>
      </c>
      <c r="T31" s="247">
        <f>'FIM interventions data'!X32*'Assumptions data'!$L32*'Local food sourcing'!$I31</f>
        <v>294179.37889148388</v>
      </c>
      <c r="U31" s="234">
        <f>'FIM interventions data'!Y32*'Assumptions data'!$N32*'Local food sourcing'!$I31</f>
        <v>679193.97185232525</v>
      </c>
      <c r="V31" s="234">
        <f>'FIM interventions data'!Z32*'Assumptions data'!$R31*'Local food sourcing'!$K31</f>
        <v>42044.141582597695</v>
      </c>
      <c r="W31" s="235">
        <f>'FIM interventions data'!AA32*'Assumptions data'!$P31*'Local food sourcing'!$L31</f>
        <v>506358.48932597</v>
      </c>
      <c r="X31" s="118">
        <f>'FIM interventions data'!E32*'Assumptions data'!S32+D31</f>
        <v>791896020.17187309</v>
      </c>
      <c r="Y31" s="118">
        <f>'FIM interventions data'!G32*'Assumptions data'!T32+E31</f>
        <v>969974099.36635792</v>
      </c>
      <c r="Z31" s="118">
        <f>'FIM interventions data'!I32*'Assumptions data'!U31+F31</f>
        <v>648780577.70249283</v>
      </c>
      <c r="AA31" s="178">
        <f>'FIM interventions data'!K32*'Assumptions data'!$V32+G31</f>
        <v>723143372.87324655</v>
      </c>
      <c r="AB31" s="234">
        <f>'FIM interventions data'!L32*'Assumptions data'!$S32+H31</f>
        <v>280509029.30221844</v>
      </c>
      <c r="AC31" s="234">
        <f>'FIM interventions data'!M32*'Assumptions data'!$T32+I31</f>
        <v>343588660.79728127</v>
      </c>
      <c r="AD31" s="234">
        <f>'FIM interventions data'!N32*'Assumptions data'!$U31+J31</f>
        <v>229814022.8586576</v>
      </c>
      <c r="AE31" s="235">
        <f>'FIM interventions data'!O32*'Assumptions data'!$V32+K31</f>
        <v>256155152.19659835</v>
      </c>
      <c r="AF31" s="234">
        <f>'FIM interventions data'!P32*'Assumptions data'!$S32+L31</f>
        <v>285021995.08284771</v>
      </c>
      <c r="AG31" s="234">
        <f>'FIM interventions data'!Q32*'Assumptions data'!$T32+M31</f>
        <v>349116482.38879144</v>
      </c>
      <c r="AH31" s="234">
        <f>'FIM interventions data'!R32*'Assumptions data'!$U31+N31</f>
        <v>233511382.70354319</v>
      </c>
      <c r="AI31" s="235">
        <f>'FIM interventions data'!S32*'Assumptions data'!$V32+O31</f>
        <v>260276300.94988722</v>
      </c>
      <c r="AJ31" s="234">
        <f>'FIM interventions data'!T32*'Assumptions data'!$S32+P31</f>
        <v>632825101.49719667</v>
      </c>
      <c r="AK31" s="234">
        <f>'FIM interventions data'!U32*'Assumptions data'!$T32+Q31</f>
        <v>775132015.11979198</v>
      </c>
      <c r="AL31" s="234">
        <f>'FIM interventions data'!V32*'Assumptions data'!$U31+R31</f>
        <v>518457757.67995524</v>
      </c>
      <c r="AM31" s="235">
        <f>'FIM interventions data'!W32*'Assumptions data'!$V32+S31</f>
        <v>577883038.52848625</v>
      </c>
      <c r="AN31" s="234">
        <f>'FIM interventions data'!X32*'Assumptions data'!$S32+T31</f>
        <v>4898086.6585432068</v>
      </c>
      <c r="AO31" s="234">
        <f>'FIM interventions data'!Y32*'Assumptions data'!$T32+U31</f>
        <v>5999546.7513622073</v>
      </c>
      <c r="AP31" s="234">
        <f>'FIM interventions data'!Z32*'Assumptions data'!$U31+V31</f>
        <v>4012879.735494602</v>
      </c>
      <c r="AQ31" s="235">
        <f>'FIM interventions data'!AA32*'Assumptions data'!$V32+W31</f>
        <v>4472833.3223794028</v>
      </c>
      <c r="AR31" s="118">
        <f>'FIM interventions data'!AB32*'Assumptions data'!$L32*'Local food sourcing'!$I31</f>
        <v>9501507.4571953136</v>
      </c>
      <c r="AS31" s="118">
        <f>'FIM interventions data'!AC32*'Assumptions data'!$N32*'Local food sourcing'!$I31</f>
        <v>21936842.115699321</v>
      </c>
      <c r="AT31" s="118">
        <f>'FIM interventions data'!AD32*'Assumptions data'!$R31*'Local food sourcing'!$K31</f>
        <v>1357956.2452125093</v>
      </c>
      <c r="AU31" s="178">
        <f>'FIM interventions data'!AE32*'Assumptions data'!$P31*'Local food sourcing'!$L31</f>
        <v>16354541.846114879</v>
      </c>
      <c r="AV31" s="234">
        <f>'FIM interventions data'!AF32*'Assumptions data'!$L32*'Local food sourcing'!$I31</f>
        <v>8619879.1037300527</v>
      </c>
      <c r="AW31" s="234">
        <f>'FIM interventions data'!AG32*'Assumptions data'!$N32*'Local food sourcing'!$I31</f>
        <v>19901360.684798017</v>
      </c>
      <c r="AX31" s="234">
        <f>'FIM interventions data'!AH32*'Assumptions data'!$R31*'Local food sourcing'!$K31</f>
        <v>1231953.8467575205</v>
      </c>
      <c r="AY31" s="235">
        <f>'FIM interventions data'!AI32*'Assumptions data'!$P31*'Local food sourcing'!$L31</f>
        <v>14837032.349392867</v>
      </c>
      <c r="AZ31" s="234">
        <f>'FIM interventions data'!AJ32*'Assumptions data'!$L32*'Local food sourcing'!$I31</f>
        <v>1605298.256874518</v>
      </c>
      <c r="BA31" s="234">
        <f>'FIM interventions data'!AK32*'Assumptions data'!$N32*'Local food sourcing'!$I31</f>
        <v>3706272.3539721943</v>
      </c>
      <c r="BB31" s="234">
        <f>'FIM interventions data'!AL32*'Assumptions data'!$R31*'Local food sourcing'!$K31</f>
        <v>229429.36193779344</v>
      </c>
      <c r="BC31" s="235">
        <f>'FIM interventions data'!AM32*'Assumptions data'!$P31*'Local food sourcing'!$L31</f>
        <v>2763131.8120650402</v>
      </c>
      <c r="BD31" s="234">
        <f>'FIM interventions data'!AN32*'Assumptions data'!$L32*'Local food sourcing'!$I31</f>
        <v>2777540.9607216218</v>
      </c>
      <c r="BE31" s="234">
        <f>'FIM interventions data'!AO32*'Assumptions data'!$N32*'Local food sourcing'!$I31</f>
        <v>6412716.9083150597</v>
      </c>
      <c r="BF31" s="234">
        <f>'FIM interventions data'!AP32*'Assumptions data'!$R31*'Local food sourcing'!$K31</f>
        <v>396966.38780083059</v>
      </c>
      <c r="BG31" s="235">
        <f>'FIM interventions data'!AQ32*'Assumptions data'!$P31*'Local food sourcing'!$L31</f>
        <v>4780863.465725122</v>
      </c>
      <c r="BH31" s="234">
        <f>'FIM interventions data'!AR32*'Assumptions data'!$L32*'Local food sourcing'!$I31</f>
        <v>36157.519789056008</v>
      </c>
      <c r="BI31" s="234">
        <f>'FIM interventions data'!AS32*'Assumptions data'!$N32*'Local food sourcing'!$I31</f>
        <v>83479.574844424715</v>
      </c>
      <c r="BJ31" s="234">
        <f>'FIM interventions data'!AT32*'Assumptions data'!$R31*'Local food sourcing'!$K31</f>
        <v>5167.6357704440643</v>
      </c>
      <c r="BK31" s="235">
        <f>'FIM interventions data'!AU32*'Assumptions data'!$P31*'Local food sourcing'!$L31</f>
        <v>62236.405444699529</v>
      </c>
      <c r="BL31" s="118">
        <f>'FIM interventions data'!AB32*'Assumptions data'!$S32*'Assumptions data'!$W32+AR31</f>
        <v>121025451.23602532</v>
      </c>
      <c r="BM31" s="118">
        <f>'FIM interventions data'!AC32*'Assumptions data'!$T32*'Assumptions data'!$X32+AS31</f>
        <v>107856140.40218835</v>
      </c>
      <c r="BN31" s="234">
        <f>'FIM interventions data'!AD32*'Assumptions data'!$U31*'Assumptions data'!$Z32+AT31</f>
        <v>7770527.4031604705</v>
      </c>
      <c r="BO31" s="235">
        <f>'FIM interventions data'!AE32*'Assumptions data'!$V32*'Assumptions data'!$Y32+AU31</f>
        <v>80409830.743398175</v>
      </c>
      <c r="BP31" s="234">
        <f>'FIM interventions data'!AF32*'Assumptions data'!$S32*'Assumptions data'!$W32+AV31</f>
        <v>109795710.08376157</v>
      </c>
      <c r="BQ31" s="234">
        <f>'FIM interventions data'!AG32*'Assumptions data'!$T32*'Assumptions data'!$X32+AW31</f>
        <v>97848356.700256929</v>
      </c>
      <c r="BR31" s="234">
        <f>'FIM interventions data'!AH32*'Assumptions data'!$U31*'Assumptions data'!$Z32+AX31</f>
        <v>7049513.6786680352</v>
      </c>
      <c r="BS31" s="235">
        <f>'FIM interventions data'!AI32*'Assumptions data'!$V32*'Assumptions data'!$Y32+AY31</f>
        <v>72948742.384514928</v>
      </c>
      <c r="BT31" s="234">
        <f>'FIM interventions data'!AJ32*'Assumptions data'!$S32*'Assumptions data'!$W32+AZ31</f>
        <v>20447486.546939172</v>
      </c>
      <c r="BU31" s="234">
        <f>'FIM interventions data'!AK32*'Assumptions data'!$T32*'Assumptions data'!$X32+BA31</f>
        <v>18222505.740363289</v>
      </c>
      <c r="BV31" s="234">
        <f>'FIM interventions data'!AL32*'Assumptions data'!$U31*'Assumptions data'!$Z32+BB31</f>
        <v>1312845.793310707</v>
      </c>
      <c r="BW31" s="235">
        <f>'FIM interventions data'!AM32*'Assumptions data'!$V32*'Assumptions data'!$Y32+BC31</f>
        <v>13585398.075986449</v>
      </c>
      <c r="BX31" s="234">
        <f>'FIM interventions data'!AN32*'Assumptions data'!$S32*'Assumptions data'!$W32+BD31</f>
        <v>35378927.987191655</v>
      </c>
      <c r="BY31" s="234">
        <f>'FIM interventions data'!AO32*'Assumptions data'!$T32*'Assumptions data'!$X32+BE31</f>
        <v>31529191.465882383</v>
      </c>
      <c r="BZ31" s="234">
        <f>'FIM interventions data'!AP32*'Assumptions data'!$U31*'Assumptions data'!$Z32+BF31</f>
        <v>2271529.8857491976</v>
      </c>
      <c r="CA31" s="235">
        <f>'FIM interventions data'!AQ32*'Assumptions data'!$V32*'Assumptions data'!$Y32+BG31</f>
        <v>23505912.039815187</v>
      </c>
      <c r="CB31" s="234">
        <f>'FIM interventions data'!AR32*'Assumptions data'!$S32*'Assumptions data'!$W32+BH31</f>
        <v>460556.40831310104</v>
      </c>
      <c r="CC31" s="234">
        <f>'FIM interventions data'!AS32*'Assumptions data'!$T32*'Assumptions data'!$X32+BI31</f>
        <v>410441.24298508826</v>
      </c>
      <c r="CD31" s="234">
        <f>'FIM interventions data'!AT32*'Assumptions data'!$U31*'Assumptions data'!$Z32+BJ31</f>
        <v>29570.360241985476</v>
      </c>
      <c r="CE31" s="234">
        <f>'FIM interventions data'!AU32*'Assumptions data'!$V32*'Assumptions data'!$Y32+BK31</f>
        <v>305995.66010310606</v>
      </c>
      <c r="CF31" s="247">
        <f>'FIM interventions data'!AV32*'Assumptions data'!$L32*'Local food sourcing'!$I31</f>
        <v>13728371.014935918</v>
      </c>
      <c r="CG31" s="234">
        <f>'FIM interventions data'!AW32*'Assumptions data'!$N32*'Local food sourcing'!$I31</f>
        <v>31695718.686441846</v>
      </c>
      <c r="CH31" s="234">
        <f>'FIM interventions data'!AX32*'Assumptions data'!$R31*'Local food sourcing'!$K31</f>
        <v>1962059.9405212263</v>
      </c>
      <c r="CI31" s="234">
        <f>'FIM interventions data'!AY32*'Assumptions data'!$P31*'Local food sourcing'!$L31</f>
        <v>23630062.835211933</v>
      </c>
      <c r="CJ31" s="247">
        <f>'FIM interventions data'!AV32*'Assumptions data'!$S32*'Assumptions data'!$W32+CF31</f>
        <v>174865125.80274627</v>
      </c>
      <c r="CK31" s="234">
        <f>'FIM interventions data'!AW32*'Assumptions data'!$T32*'Assumptions data'!$X32+CG31</f>
        <v>155837283.54167244</v>
      </c>
      <c r="CL31" s="234">
        <f>'FIM interventions data'!AX32*'Assumptions data'!$U31*'Assumptions data'!$Z32+CH31</f>
        <v>11227342.992982574</v>
      </c>
      <c r="CM31" s="235">
        <f>'FIM interventions data'!AY32*'Assumptions data'!$V32*'Assumptions data'!$Y32+CI31</f>
        <v>116181142.27312535</v>
      </c>
    </row>
    <row r="32" spans="1:91">
      <c r="A32" s="9">
        <v>31</v>
      </c>
      <c r="B32" s="1" t="s">
        <v>464</v>
      </c>
      <c r="C32" s="1" t="s">
        <v>465</v>
      </c>
      <c r="D32" s="78">
        <f>'FIM interventions data'!E33*'Assumptions data'!L33*'Local food sourcing'!I32</f>
        <v>18834267.717106488</v>
      </c>
      <c r="E32" s="118">
        <f>'FIM interventions data'!G33*'Assumptions data'!N33*'Local food sourcing'!I32</f>
        <v>43484084.934553854</v>
      </c>
      <c r="F32" s="118">
        <f>'FIM interventions data'!I33*'Assumptions data'!$R32*'Local food sourcing'!$K32</f>
        <v>2691795.1267912542</v>
      </c>
      <c r="G32" s="178">
        <f>'FIM interventions data'!K33*'Assumptions data'!$P32*'Local food sourcing'!$L32</f>
        <v>32418626.297776192</v>
      </c>
      <c r="H32" s="247">
        <f>'FIM interventions data'!L33*'Assumptions data'!$L33*'Local food sourcing'!$I32</f>
        <v>5941348.3247454986</v>
      </c>
      <c r="I32" s="234">
        <f>'FIM interventions data'!M33*'Assumptions data'!$N33*'Local food sourcing'!$I32</f>
        <v>13717236.000863932</v>
      </c>
      <c r="J32" s="234">
        <f>'FIM interventions data'!N33*'Assumptions data'!$R32*'Local food sourcing'!$K32</f>
        <v>849138.0024609901</v>
      </c>
      <c r="K32" s="235">
        <f>'FIM interventions data'!O33*'Assumptions data'!$P32*'Local food sourcing'!$L32</f>
        <v>10226590.910667684</v>
      </c>
      <c r="L32" s="247">
        <f>'FIM interventions data'!P33*'Assumptions data'!$L33*'Local food sourcing'!$I32</f>
        <v>2122950.7609973303</v>
      </c>
      <c r="M32" s="234">
        <f>'FIM interventions data'!Q33*'Assumptions data'!$N33*'Local food sourcing'!$I32</f>
        <v>4901415.4725664016</v>
      </c>
      <c r="N32" s="234">
        <f>'FIM interventions data'!R33*'Assumptions data'!$R32*'Local food sourcing'!$K32</f>
        <v>303412.30138085375</v>
      </c>
      <c r="O32" s="235">
        <f>'FIM interventions data'!S33*'Assumptions data'!$P32*'Local food sourcing'!$L32</f>
        <v>3654145.1148027615</v>
      </c>
      <c r="P32" s="247">
        <f>'FIM interventions data'!T33*'Assumptions data'!$L33*'Local food sourcing'!$I32</f>
        <v>6299972.5128224893</v>
      </c>
      <c r="Q32" s="234">
        <f>'FIM interventions data'!U33*'Assumptions data'!$N33*'Local food sourcing'!$I32</f>
        <v>14545218.531863073</v>
      </c>
      <c r="R32" s="234">
        <f>'FIM interventions data'!V33*'Assumptions data'!$R32*'Local food sourcing'!$K32</f>
        <v>900392.60159458581</v>
      </c>
      <c r="S32" s="235">
        <f>'FIM interventions data'!W33*'Assumptions data'!$P32*'Local food sourcing'!$L32</f>
        <v>10843875.517069016</v>
      </c>
      <c r="T32" s="247">
        <f>'FIM interventions data'!X33*'Assumptions data'!$L33*'Local food sourcing'!$I32</f>
        <v>211890.06908315566</v>
      </c>
      <c r="U32" s="234">
        <f>'FIM interventions data'!Y33*'Assumptions data'!$N33*'Local food sourcing'!$I32</f>
        <v>489206.47721449856</v>
      </c>
      <c r="V32" s="234">
        <f>'FIM interventions data'!Z33*'Assumptions data'!$R32*'Local food sourcing'!$K32</f>
        <v>30283.346501199991</v>
      </c>
      <c r="W32" s="235">
        <f>'FIM interventions data'!AA33*'Assumptions data'!$P32*'Local food sourcing'!$L32</f>
        <v>364717.39007818024</v>
      </c>
      <c r="X32" s="118">
        <f>'FIM interventions data'!E33*'Assumptions data'!S33+D32</f>
        <v>239901485.04664391</v>
      </c>
      <c r="Y32" s="118">
        <f>'FIM interventions data'!G33*'Assumptions data'!T33+E32</f>
        <v>298953083.92505771</v>
      </c>
      <c r="Z32" s="118">
        <f>'FIM interventions data'!I33*'Assumptions data'!U32+F32</f>
        <v>193360616.60783842</v>
      </c>
      <c r="AA32" s="178">
        <f>'FIM interventions data'!K33*'Assumptions data'!$V33+G32</f>
        <v>222878055.79721135</v>
      </c>
      <c r="AB32" s="234">
        <f>'FIM interventions data'!L33*'Assumptions data'!$S33+H32</f>
        <v>75677924.286445796</v>
      </c>
      <c r="AC32" s="234">
        <f>'FIM interventions data'!M33*'Assumptions data'!$T33+I32</f>
        <v>94305997.505939543</v>
      </c>
      <c r="AD32" s="234">
        <f>'FIM interventions data'!N33*'Assumptions data'!$U32+J32</f>
        <v>60996413.176781118</v>
      </c>
      <c r="AE32" s="235">
        <f>'FIM interventions data'!O33*'Assumptions data'!$V33+K32</f>
        <v>70307812.510840327</v>
      </c>
      <c r="AF32" s="234">
        <f>'FIM interventions data'!P33*'Assumptions data'!$S33+L32</f>
        <v>27041085.31820349</v>
      </c>
      <c r="AG32" s="234">
        <f>'FIM interventions data'!Q33*'Assumptions data'!$T33+M32</f>
        <v>33697231.373894013</v>
      </c>
      <c r="AH32" s="234">
        <f>'FIM interventions data'!R33*'Assumptions data'!$U32+N32</f>
        <v>21795116.982524659</v>
      </c>
      <c r="AI32" s="235">
        <f>'FIM interventions data'!S33*'Assumptions data'!$V33+O32</f>
        <v>25122247.664268989</v>
      </c>
      <c r="AJ32" s="234">
        <f>'FIM interventions data'!T33*'Assumptions data'!$S33+P32</f>
        <v>80245899.882076457</v>
      </c>
      <c r="AK32" s="234">
        <f>'FIM interventions data'!U33*'Assumptions data'!$T33+Q32</f>
        <v>99998377.406558648</v>
      </c>
      <c r="AL32" s="234">
        <f>'FIM interventions data'!V33*'Assumptions data'!$U32+R32</f>
        <v>64678201.88121108</v>
      </c>
      <c r="AM32" s="235">
        <f>'FIM interventions data'!W33*'Assumptions data'!$V33+S32</f>
        <v>74551644.179849491</v>
      </c>
      <c r="AN32" s="234">
        <f>'FIM interventions data'!X33*'Assumptions data'!$S33+T32</f>
        <v>2698949.7549466952</v>
      </c>
      <c r="AO32" s="234">
        <f>'FIM interventions data'!Y33*'Assumptions data'!$T33+U32</f>
        <v>3363294.5308496775</v>
      </c>
      <c r="AP32" s="234">
        <f>'FIM interventions data'!Z33*'Assumptions data'!$U32+V32</f>
        <v>2175353.7236695327</v>
      </c>
      <c r="AQ32" s="235">
        <f>'FIM interventions data'!AA33*'Assumptions data'!$V33+W32</f>
        <v>2507432.056787489</v>
      </c>
      <c r="AR32" s="118">
        <f>'FIM interventions data'!AB33*'Assumptions data'!$L33*'Local food sourcing'!$I32</f>
        <v>6288730.026356034</v>
      </c>
      <c r="AS32" s="118">
        <f>'FIM interventions data'!AC33*'Assumptions data'!$N33*'Local food sourcing'!$I32</f>
        <v>14519262.16107522</v>
      </c>
      <c r="AT32" s="118">
        <f>'FIM interventions data'!AD33*'Assumptions data'!$R32*'Local food sourcing'!$K32</f>
        <v>898785.8244828888</v>
      </c>
      <c r="AU32" s="178">
        <f>'FIM interventions data'!AE33*'Assumptions data'!$P32*'Local food sourcing'!$L32</f>
        <v>10824524.301885702</v>
      </c>
      <c r="AV32" s="234">
        <f>'FIM interventions data'!AF33*'Assumptions data'!$L33*'Local food sourcing'!$I32</f>
        <v>5523333.5912174731</v>
      </c>
      <c r="AW32" s="234">
        <f>'FIM interventions data'!AG33*'Assumptions data'!$N33*'Local food sourcing'!$I32</f>
        <v>12752134.068065237</v>
      </c>
      <c r="AX32" s="234">
        <f>'FIM interventions data'!AH33*'Assumptions data'!$R32*'Local food sourcing'!$K32</f>
        <v>789395.30157457909</v>
      </c>
      <c r="AY32" s="235">
        <f>'FIM interventions data'!AI33*'Assumptions data'!$P32*'Local food sourcing'!$L32</f>
        <v>9507079.8770159092</v>
      </c>
      <c r="AZ32" s="234">
        <f>'FIM interventions data'!AJ33*'Assumptions data'!$L33*'Local food sourcing'!$I32</f>
        <v>1490630.47880519</v>
      </c>
      <c r="BA32" s="234">
        <f>'FIM interventions data'!AK33*'Assumptions data'!$N33*'Local food sourcing'!$I32</f>
        <v>3441530.2638778486</v>
      </c>
      <c r="BB32" s="234">
        <f>'FIM interventions data'!AL33*'Assumptions data'!$R32*'Local food sourcing'!$K32</f>
        <v>213041.03344830018</v>
      </c>
      <c r="BC32" s="235">
        <f>'FIM interventions data'!AM33*'Assumptions data'!$P32*'Local food sourcing'!$L32</f>
        <v>2565759.0285057654</v>
      </c>
      <c r="BD32" s="234">
        <f>'FIM interventions data'!AN33*'Assumptions data'!$L33*'Local food sourcing'!$I32</f>
        <v>699426.2480564682</v>
      </c>
      <c r="BE32" s="234">
        <f>'FIM interventions data'!AO33*'Assumptions data'!$N33*'Local food sourcing'!$I32</f>
        <v>1614817.7796325965</v>
      </c>
      <c r="BF32" s="234">
        <f>'FIM interventions data'!AP33*'Assumptions data'!$R32*'Local food sourcing'!$K32</f>
        <v>99962.058219990809</v>
      </c>
      <c r="BG32" s="235">
        <f>'FIM interventions data'!AQ33*'Assumptions data'!$P32*'Local food sourcing'!$L32</f>
        <v>1203892.7395092712</v>
      </c>
      <c r="BH32" s="234">
        <f>'FIM interventions data'!AR33*'Assumptions data'!$L33*'Local food sourcing'!$I32</f>
        <v>51845.882269322537</v>
      </c>
      <c r="BI32" s="234">
        <f>'FIM interventions data'!AS33*'Assumptions data'!$N33*'Local food sourcing'!$I32</f>
        <v>119700.47266867962</v>
      </c>
      <c r="BJ32" s="234">
        <f>'FIM interventions data'!AT33*'Assumptions data'!$R32*'Local food sourcing'!$K32</f>
        <v>7409.817856098517</v>
      </c>
      <c r="BK32" s="235">
        <f>'FIM interventions data'!AU33*'Assumptions data'!$P32*'Local food sourcing'!$L32</f>
        <v>89240.118469861365</v>
      </c>
      <c r="BL32" s="118">
        <f>'FIM interventions data'!AB33*'Assumptions data'!$S33*'Assumptions data'!$W33+AR32</f>
        <v>61649206.539621495</v>
      </c>
      <c r="BM32" s="118">
        <f>'FIM interventions data'!AC33*'Assumptions data'!$T33*'Assumptions data'!$X33+AS32</f>
        <v>57169594.759233683</v>
      </c>
      <c r="BN32" s="234">
        <f>'FIM interventions data'!AD33*'Assumptions data'!$U32*'Assumptions data'!$Z33+AT32</f>
        <v>4081985.6195264533</v>
      </c>
      <c r="BO32" s="235">
        <f>'FIM interventions data'!AE33*'Assumptions data'!$V33*'Assumptions data'!$Y33+AU32</f>
        <v>42621564.438674957</v>
      </c>
      <c r="BP32" s="234">
        <f>'FIM interventions data'!AF33*'Assumptions data'!$S33*'Assumptions data'!$W33+AV32</f>
        <v>54145929.611403793</v>
      </c>
      <c r="BQ32" s="234">
        <f>'FIM interventions data'!AG33*'Assumptions data'!$T33*'Assumptions data'!$X33+AW32</f>
        <v>50211527.893006876</v>
      </c>
      <c r="BR32" s="234">
        <f>'FIM interventions data'!AH33*'Assumptions data'!$U32*'Assumptions data'!$Z33+AX32</f>
        <v>3585170.3279845468</v>
      </c>
      <c r="BS32" s="235">
        <f>'FIM interventions data'!AI33*'Assumptions data'!$V33*'Assumptions data'!$Y33+AY32</f>
        <v>37434127.01575014</v>
      </c>
      <c r="BT32" s="234">
        <f>'FIM interventions data'!AJ33*'Assumptions data'!$S33*'Assumptions data'!$W33+AZ32</f>
        <v>14612836.912537126</v>
      </c>
      <c r="BU32" s="234">
        <f>'FIM interventions data'!AK33*'Assumptions data'!$T33*'Assumptions data'!$X33+BA32</f>
        <v>13551025.41401903</v>
      </c>
      <c r="BV32" s="234">
        <f>'FIM interventions data'!AL33*'Assumptions data'!$U32*'Assumptions data'!$Z33+BB32</f>
        <v>967561.36024436343</v>
      </c>
      <c r="BW32" s="235">
        <f>'FIM interventions data'!AM33*'Assumptions data'!$V33*'Assumptions data'!$Y33+BC32</f>
        <v>10102676.174741453</v>
      </c>
      <c r="BX32" s="234">
        <f>'FIM interventions data'!AN33*'Assumptions data'!$S33*'Assumptions data'!$W33+BD32</f>
        <v>6856562.9379785648</v>
      </c>
      <c r="BY32" s="234">
        <f>'FIM interventions data'!AO33*'Assumptions data'!$T33*'Assumptions data'!$X33+BE32</f>
        <v>6358345.0073033487</v>
      </c>
      <c r="BZ32" s="234">
        <f>'FIM interventions data'!AP33*'Assumptions data'!$U32*'Assumptions data'!$Z33+BF32</f>
        <v>453994.34774912498</v>
      </c>
      <c r="CA32" s="235">
        <f>'FIM interventions data'!AQ33*'Assumptions data'!$V33*'Assumptions data'!$Y33+BG32</f>
        <v>4740327.6618177565</v>
      </c>
      <c r="CB32" s="234">
        <f>'FIM interventions data'!AR33*'Assumptions data'!$S33*'Assumptions data'!$W33+BH32</f>
        <v>508251.66462145245</v>
      </c>
      <c r="CC32" s="234">
        <f>'FIM interventions data'!AS33*'Assumptions data'!$T33*'Assumptions data'!$X33+BI32</f>
        <v>471320.61113292607</v>
      </c>
      <c r="CD32" s="234">
        <f>'FIM interventions data'!AT33*'Assumptions data'!$U32*'Assumptions data'!$Z33+BJ32</f>
        <v>33652.922763114104</v>
      </c>
      <c r="CE32" s="234">
        <f>'FIM interventions data'!AU33*'Assumptions data'!$V33*'Assumptions data'!$Y33+BK32</f>
        <v>351382.96647507913</v>
      </c>
      <c r="CF32" s="247">
        <f>'FIM interventions data'!AV33*'Assumptions data'!$L33*'Local food sourcing'!$I32</f>
        <v>5402448.9143178267</v>
      </c>
      <c r="CG32" s="234">
        <f>'FIM interventions data'!AW33*'Assumptions data'!$N33*'Local food sourcing'!$I32</f>
        <v>12473038.55787367</v>
      </c>
      <c r="CH32" s="234">
        <f>'FIM interventions data'!AX33*'Assumptions data'!$R32*'Local food sourcing'!$K32</f>
        <v>772118.45338118426</v>
      </c>
      <c r="CI32" s="234">
        <f>'FIM interventions data'!AY33*'Assumptions data'!$P32*'Local food sourcing'!$L32</f>
        <v>9299006.2091462687</v>
      </c>
      <c r="CJ32" s="247">
        <f>'FIM interventions data'!AV33*'Assumptions data'!$S33*'Assumptions data'!$W33+CF32</f>
        <v>52960882.013171941</v>
      </c>
      <c r="CK32" s="234">
        <f>'FIM interventions data'!AW33*'Assumptions data'!$T33*'Assumptions data'!$X33+CG32</f>
        <v>49112589.321627572</v>
      </c>
      <c r="CL32" s="234">
        <f>'FIM interventions data'!AX33*'Assumptions data'!$U32*'Assumptions data'!$Z33+CH32</f>
        <v>3506704.6424395451</v>
      </c>
      <c r="CM32" s="235">
        <f>'FIM interventions data'!AY33*'Assumptions data'!$V33*'Assumptions data'!$Y33+CI32</f>
        <v>36614836.948513433</v>
      </c>
    </row>
    <row r="33" spans="1:91">
      <c r="A33" s="9">
        <v>32</v>
      </c>
      <c r="B33" s="1" t="s">
        <v>469</v>
      </c>
      <c r="C33" s="1" t="s">
        <v>470</v>
      </c>
      <c r="D33" s="78">
        <f>'FIM interventions data'!E34*'Assumptions data'!L34*'Local food sourcing'!I33</f>
        <v>203789258.31590289</v>
      </c>
      <c r="E33" s="118">
        <f>'FIM interventions data'!G34*'Assumptions data'!N34*'Local food sourcing'!I33</f>
        <v>470503528.48652518</v>
      </c>
      <c r="F33" s="118">
        <f>'FIM interventions data'!I34*'Assumptions data'!$R33*'Local food sourcing'!$K33</f>
        <v>29125577.944764752</v>
      </c>
      <c r="G33" s="178">
        <f>'FIM interventions data'!K34*'Assumptions data'!$P33*'Local food sourcing'!$L33</f>
        <v>350773808.04371423</v>
      </c>
      <c r="H33" s="247">
        <f>'FIM interventions data'!L34*'Assumptions data'!$L34*'Local food sourcing'!$I33</f>
        <v>72867298.663302824</v>
      </c>
      <c r="I33" s="234">
        <f>'FIM interventions data'!M34*'Assumptions data'!$N34*'Local food sourcing'!$I33</f>
        <v>168234191.61386698</v>
      </c>
      <c r="J33" s="234">
        <f>'FIM interventions data'!N34*'Assumptions data'!$R33*'Local food sourcing'!$K33</f>
        <v>10414200.455809124</v>
      </c>
      <c r="K33" s="235">
        <f>'FIM interventions data'!O34*'Assumptions data'!$P33*'Local food sourcing'!$L33</f>
        <v>125423391.03253306</v>
      </c>
      <c r="L33" s="247">
        <f>'FIM interventions data'!P34*'Assumptions data'!$L34*'Local food sourcing'!$I33</f>
        <v>32527015.217315882</v>
      </c>
      <c r="M33" s="234">
        <f>'FIM interventions data'!Q34*'Assumptions data'!$N34*'Local food sourcing'!$I33</f>
        <v>75097556.943646595</v>
      </c>
      <c r="N33" s="234">
        <f>'FIM interventions data'!R34*'Assumptions data'!$R33*'Local food sourcing'!$K33</f>
        <v>4648763.7515905034</v>
      </c>
      <c r="O33" s="235">
        <f>'FIM interventions data'!S34*'Assumptions data'!$P33*'Local food sourcing'!$L33</f>
        <v>55987371.887811482</v>
      </c>
      <c r="P33" s="247">
        <f>'FIM interventions data'!T34*'Assumptions data'!$L34*'Local food sourcing'!$I33</f>
        <v>108067855.06538905</v>
      </c>
      <c r="Q33" s="234">
        <f>'FIM interventions data'!U34*'Assumptions data'!$N34*'Local food sourcing'!$I33</f>
        <v>249504353.39146686</v>
      </c>
      <c r="R33" s="234">
        <f>'FIM interventions data'!V34*'Assumptions data'!$R33*'Local food sourcing'!$K33</f>
        <v>15445066.938471256</v>
      </c>
      <c r="S33" s="235">
        <f>'FIM interventions data'!W34*'Assumptions data'!$P33*'Local food sourcing'!$L33</f>
        <v>186012615.9821476</v>
      </c>
      <c r="T33" s="247">
        <f>'FIM interventions data'!X34*'Assumptions data'!$L34*'Local food sourcing'!$I33</f>
        <v>1242745.5984164737</v>
      </c>
      <c r="U33" s="234">
        <f>'FIM interventions data'!Y34*'Assumptions data'!$N34*'Local food sourcing'!$I33</f>
        <v>2869219.869084829</v>
      </c>
      <c r="V33" s="234">
        <f>'FIM interventions data'!Z34*'Assumptions data'!$R33*'Local food sourcing'!$K33</f>
        <v>177613.30548680722</v>
      </c>
      <c r="W33" s="235">
        <f>'FIM interventions data'!AA34*'Assumptions data'!$P33*'Local food sourcing'!$L33</f>
        <v>2139085.296195385</v>
      </c>
      <c r="X33" s="118">
        <f>'FIM interventions data'!E34*'Assumptions data'!S34+D33</f>
        <v>2117370393.9022312</v>
      </c>
      <c r="Y33" s="118">
        <f>'FIM interventions data'!G34*'Assumptions data'!T34+E33</f>
        <v>2681870112.3731937</v>
      </c>
      <c r="Z33" s="118">
        <f>'FIM interventions data'!I34*'Assumptions data'!U33+F33</f>
        <v>1679574994.8147676</v>
      </c>
      <c r="AA33" s="178">
        <f>'FIM interventions data'!K34*'Assumptions data'!$V34+G33</f>
        <v>1999410705.8491714</v>
      </c>
      <c r="AB33" s="234">
        <f>'FIM interventions data'!L34*'Assumptions data'!$S34+H33</f>
        <v>757091233.11171627</v>
      </c>
      <c r="AC33" s="234">
        <f>'FIM interventions data'!M34*'Assumptions data'!$T34+I33</f>
        <v>958934892.19904184</v>
      </c>
      <c r="AD33" s="234">
        <f>'FIM interventions data'!N34*'Assumptions data'!$U33+J33</f>
        <v>600552226.28499269</v>
      </c>
      <c r="AE33" s="235">
        <f>'FIM interventions data'!O34*'Assumptions data'!$V34+K33</f>
        <v>714913328.88543856</v>
      </c>
      <c r="AF33" s="234">
        <f>'FIM interventions data'!P34*'Assumptions data'!$S34+L33</f>
        <v>337955688.10791206</v>
      </c>
      <c r="AG33" s="234">
        <f>'FIM interventions data'!Q34*'Assumptions data'!$T34+M33</f>
        <v>428056074.57878566</v>
      </c>
      <c r="AH33" s="234">
        <f>'FIM interventions data'!R34*'Assumptions data'!$U33+N33</f>
        <v>268078709.67505231</v>
      </c>
      <c r="AI33" s="235">
        <f>'FIM interventions data'!S34*'Assumptions data'!$V34+O33</f>
        <v>319128019.76052547</v>
      </c>
      <c r="AJ33" s="234">
        <f>'FIM interventions data'!T34*'Assumptions data'!$S34+P33</f>
        <v>1122825014.1293924</v>
      </c>
      <c r="AK33" s="234">
        <f>'FIM interventions data'!U34*'Assumptions data'!$T34+Q33</f>
        <v>1422174814.3313613</v>
      </c>
      <c r="AL33" s="234">
        <f>'FIM interventions data'!V34*'Assumptions data'!$U33+R33</f>
        <v>890665526.78517556</v>
      </c>
      <c r="AM33" s="235">
        <f>'FIM interventions data'!W34*'Assumptions data'!$V34+S33</f>
        <v>1060271911.0982414</v>
      </c>
      <c r="AN33" s="234">
        <f>'FIM interventions data'!X34*'Assumptions data'!$S34+T33</f>
        <v>12912126.767547162</v>
      </c>
      <c r="AO33" s="234">
        <f>'FIM interventions data'!Y34*'Assumptions data'!$T34+U33</f>
        <v>16354553.253783528</v>
      </c>
      <c r="AP33" s="234">
        <f>'FIM interventions data'!Z34*'Assumptions data'!$U33+V33</f>
        <v>10242367.28307255</v>
      </c>
      <c r="AQ33" s="235">
        <f>'FIM interventions data'!AA34*'Assumptions data'!$V34+W33</f>
        <v>12192786.188313697</v>
      </c>
      <c r="AR33" s="118">
        <f>'FIM interventions data'!AB34*'Assumptions data'!$L34*'Local food sourcing'!$I33</f>
        <v>56459967.920403399</v>
      </c>
      <c r="AS33" s="118">
        <f>'FIM interventions data'!AC34*'Assumptions data'!$N34*'Local food sourcing'!$I33</f>
        <v>130353357.89684667</v>
      </c>
      <c r="AT33" s="118">
        <f>'FIM interventions data'!AD34*'Assumptions data'!$R33*'Local food sourcing'!$K33</f>
        <v>8069263.3655672045</v>
      </c>
      <c r="AU33" s="178">
        <f>'FIM interventions data'!AE34*'Assumptions data'!$P33*'Local food sourcing'!$L33</f>
        <v>97182148.426909372</v>
      </c>
      <c r="AV33" s="234">
        <f>'FIM interventions data'!AF34*'Assumptions data'!$L34*'Local food sourcing'!$I33</f>
        <v>54157604.472228609</v>
      </c>
      <c r="AW33" s="234">
        <f>'FIM interventions data'!AG34*'Assumptions data'!$N34*'Local food sourcing'!$I33</f>
        <v>125037718.91186434</v>
      </c>
      <c r="AX33" s="234">
        <f>'FIM interventions data'!AH34*'Assumptions data'!$R33*'Local food sourcing'!$K33</f>
        <v>7740209.3878396675</v>
      </c>
      <c r="AY33" s="235">
        <f>'FIM interventions data'!AI34*'Assumptions data'!$P33*'Local food sourcing'!$L33</f>
        <v>93219187.86220178</v>
      </c>
      <c r="AZ33" s="234">
        <f>'FIM interventions data'!AJ34*'Assumptions data'!$L34*'Local food sourcing'!$I33</f>
        <v>9035886.2802926488</v>
      </c>
      <c r="BA33" s="234">
        <f>'FIM interventions data'!AK34*'Assumptions data'!$N34*'Local food sourcing'!$I33</f>
        <v>20861827.620425232</v>
      </c>
      <c r="BB33" s="234">
        <f>'FIM interventions data'!AL34*'Assumptions data'!$R33*'Local food sourcing'!$K33</f>
        <v>1291409.6274335226</v>
      </c>
      <c r="BC33" s="235">
        <f>'FIM interventions data'!AM34*'Assumptions data'!$P33*'Local food sourcing'!$L33</f>
        <v>15553087.860376526</v>
      </c>
      <c r="BD33" s="234">
        <f>'FIM interventions data'!AN34*'Assumptions data'!$L34*'Local food sourcing'!$I33</f>
        <v>12188111.012258055</v>
      </c>
      <c r="BE33" s="234">
        <f>'FIM interventions data'!AO34*'Assumptions data'!$N34*'Local food sourcing'!$I33</f>
        <v>28139605.02257438</v>
      </c>
      <c r="BF33" s="234">
        <f>'FIM interventions data'!AP34*'Assumptions data'!$R33*'Local food sourcing'!$K33</f>
        <v>1741925.8513453547</v>
      </c>
      <c r="BG33" s="235">
        <f>'FIM interventions data'!AQ34*'Assumptions data'!$P33*'Local food sourcing'!$L33</f>
        <v>20978878.611953132</v>
      </c>
      <c r="BH33" s="234">
        <f>'FIM interventions data'!AR34*'Assumptions data'!$L34*'Local food sourcing'!$I33</f>
        <v>181626.89668162906</v>
      </c>
      <c r="BI33" s="234">
        <f>'FIM interventions data'!AS34*'Assumptions data'!$N34*'Local food sourcing'!$I33</f>
        <v>419335.62378589506</v>
      </c>
      <c r="BJ33" s="234">
        <f>'FIM interventions data'!AT34*'Assumptions data'!$R33*'Local food sourcing'!$K33</f>
        <v>25958.131355315465</v>
      </c>
      <c r="BK33" s="235">
        <f>'FIM interventions data'!AU34*'Assumptions data'!$P33*'Local food sourcing'!$L33</f>
        <v>312626.67482413433</v>
      </c>
      <c r="BL33" s="118">
        <f>'FIM interventions data'!AB34*'Assumptions data'!$S34*'Assumptions data'!$W34+AR33</f>
        <v>454079291.99984437</v>
      </c>
      <c r="BM33" s="118">
        <f>'FIM interventions data'!AC34*'Assumptions data'!$T34*'Assumptions data'!$X34+AS33</f>
        <v>436683748.95443636</v>
      </c>
      <c r="BN33" s="234">
        <f>'FIM interventions data'!AD34*'Assumptions data'!$U33*'Assumptions data'!$Z34+AT33</f>
        <v>30932176.234674286</v>
      </c>
      <c r="BO33" s="235">
        <f>'FIM interventions data'!AE34*'Assumptions data'!$V34*'Assumptions data'!$Y34+AU33</f>
        <v>325560197.23014641</v>
      </c>
      <c r="BP33" s="234">
        <f>'FIM interventions data'!AF34*'Assumptions data'!$S34*'Assumptions data'!$W34+AV33</f>
        <v>435562533.96789855</v>
      </c>
      <c r="BQ33" s="234">
        <f>'FIM interventions data'!AG34*'Assumptions data'!$T34*'Assumptions data'!$X34+AW33</f>
        <v>418876358.35474557</v>
      </c>
      <c r="BR33" s="234">
        <f>'FIM interventions data'!AH34*'Assumptions data'!$U33*'Assumptions data'!$Z34+AX33</f>
        <v>29670802.653385393</v>
      </c>
      <c r="BS33" s="235">
        <f>'FIM interventions data'!AI34*'Assumptions data'!$V34*'Assumptions data'!$Y34+AY33</f>
        <v>312284279.33837599</v>
      </c>
      <c r="BT33" s="234">
        <f>'FIM interventions data'!AJ34*'Assumptions data'!$S34*'Assumptions data'!$W34+AZ33</f>
        <v>72671115.409253627</v>
      </c>
      <c r="BU33" s="234">
        <f>'FIM interventions data'!AK34*'Assumptions data'!$T34*'Assumptions data'!$X34+BA33</f>
        <v>69887122.528424531</v>
      </c>
      <c r="BV33" s="234">
        <f>'FIM interventions data'!AL34*'Assumptions data'!$U33*'Assumptions data'!$Z34+BB33</f>
        <v>4950403.5718285032</v>
      </c>
      <c r="BW33" s="235">
        <f>'FIM interventions data'!AM34*'Assumptions data'!$V34*'Assumptions data'!$Y34+BC33</f>
        <v>52102844.332261369</v>
      </c>
      <c r="BX33" s="234">
        <f>'FIM interventions data'!AN34*'Assumptions data'!$S34*'Assumptions data'!$W34+BD33</f>
        <v>98022882.816085413</v>
      </c>
      <c r="BY33" s="234">
        <f>'FIM interventions data'!AO34*'Assumptions data'!$T34*'Assumptions data'!$X34+BE33</f>
        <v>94267676.825624183</v>
      </c>
      <c r="BZ33" s="234">
        <f>'FIM interventions data'!AP34*'Assumptions data'!$U33*'Assumptions data'!$Z34+BF33</f>
        <v>6677382.430157193</v>
      </c>
      <c r="CA33" s="235">
        <f>'FIM interventions data'!AQ34*'Assumptions data'!$V34*'Assumptions data'!$Y34+BG33</f>
        <v>70279243.350042999</v>
      </c>
      <c r="CB33" s="234">
        <f>'FIM interventions data'!AR34*'Assumptions data'!$S34*'Assumptions data'!$W34+BH33</f>
        <v>1460734.3165620021</v>
      </c>
      <c r="CC33" s="234">
        <f>'FIM interventions data'!AS34*'Assumptions data'!$T34*'Assumptions data'!$X34+BI33</f>
        <v>1404774.3396827485</v>
      </c>
      <c r="CD33" s="234">
        <f>'FIM interventions data'!AT34*'Assumptions data'!$U33*'Assumptions data'!$Z34+BJ33</f>
        <v>99506.170195375948</v>
      </c>
      <c r="CE33" s="234">
        <f>'FIM interventions data'!AU34*'Assumptions data'!$V34*'Assumptions data'!$Y34+BK33</f>
        <v>1047299.3606608501</v>
      </c>
      <c r="CF33" s="247">
        <f>'FIM interventions data'!AV34*'Assumptions data'!$L34*'Local food sourcing'!$I33</f>
        <v>60051242.666338943</v>
      </c>
      <c r="CG33" s="234">
        <f>'FIM interventions data'!AW34*'Assumptions data'!$N34*'Local food sourcing'!$I33</f>
        <v>138644802.95970628</v>
      </c>
      <c r="CH33" s="234">
        <f>'FIM interventions data'!AX34*'Assumptions data'!$R33*'Local food sourcing'!$K33</f>
        <v>8582528.6544160824</v>
      </c>
      <c r="CI33" s="234">
        <f>'FIM interventions data'!AY34*'Assumptions data'!$P33*'Local food sourcing'!$L33</f>
        <v>103363657.3482985</v>
      </c>
      <c r="CJ33" s="247">
        <f>'FIM interventions data'!AV34*'Assumptions data'!$S34*'Assumptions data'!$W34+CF33</f>
        <v>482962119.14403093</v>
      </c>
      <c r="CK33" s="234">
        <f>'FIM interventions data'!AW34*'Assumptions data'!$T34*'Assumptions data'!$X34+CG33</f>
        <v>464460089.91501606</v>
      </c>
      <c r="CL33" s="234">
        <f>'FIM interventions data'!AX34*'Assumptions data'!$U33*'Assumptions data'!$Z34+CH33</f>
        <v>32899693.175261654</v>
      </c>
      <c r="CM33" s="235">
        <f>'FIM interventions data'!AY34*'Assumptions data'!$V34*'Assumptions data'!$Y34+CI33</f>
        <v>346268252.11680001</v>
      </c>
    </row>
    <row r="34" spans="1:91">
      <c r="A34" s="9">
        <v>33</v>
      </c>
      <c r="B34" s="1" t="s">
        <v>474</v>
      </c>
      <c r="C34" s="1" t="s">
        <v>475</v>
      </c>
      <c r="D34" s="78">
        <f>'FIM interventions data'!E35*'Assumptions data'!L35*'Local food sourcing'!I34</f>
        <v>73888101.833824381</v>
      </c>
      <c r="E34" s="118">
        <f>'FIM interventions data'!G35*'Assumptions data'!N35*'Local food sourcing'!I34</f>
        <v>170590996.37182975</v>
      </c>
      <c r="F34" s="118">
        <f>'FIM interventions data'!I35*'Assumptions data'!$R34*'Local food sourcing'!$K34</f>
        <v>10560093.730827576</v>
      </c>
      <c r="G34" s="178">
        <f>'FIM interventions data'!K35*'Assumptions data'!$P34*'Local food sourcing'!$L34</f>
        <v>127180456.23972806</v>
      </c>
      <c r="H34" s="247">
        <f>'FIM interventions data'!L35*'Assumptions data'!$L35*'Local food sourcing'!$I34</f>
        <v>19422973.354398023</v>
      </c>
      <c r="I34" s="234">
        <f>'FIM interventions data'!M35*'Assumptions data'!$N35*'Local food sourcing'!$I34</f>
        <v>44843273.744968012</v>
      </c>
      <c r="J34" s="234">
        <f>'FIM interventions data'!N35*'Assumptions data'!$R34*'Local food sourcing'!$K34</f>
        <v>2775932.9860049998</v>
      </c>
      <c r="K34" s="235">
        <f>'FIM interventions data'!O35*'Assumptions data'!$P34*'Local food sourcing'!$L34</f>
        <v>33431940.345415771</v>
      </c>
      <c r="L34" s="247">
        <f>'FIM interventions data'!P35*'Assumptions data'!$L35*'Local food sourcing'!$I34</f>
        <v>15526772.355287099</v>
      </c>
      <c r="M34" s="234">
        <f>'FIM interventions data'!Q35*'Assumptions data'!$N35*'Local food sourcing'!$I34</f>
        <v>35847822.596445128</v>
      </c>
      <c r="N34" s="234">
        <f>'FIM interventions data'!R35*'Assumptions data'!$R34*'Local food sourcing'!$K34</f>
        <v>2219087.6113966554</v>
      </c>
      <c r="O34" s="235">
        <f>'FIM interventions data'!S35*'Assumptions data'!$P34*'Local food sourcing'!$L34</f>
        <v>26725574.795749251</v>
      </c>
      <c r="P34" s="247">
        <f>'FIM interventions data'!T35*'Assumptions data'!$L35*'Local food sourcing'!$I34</f>
        <v>39824893.910811037</v>
      </c>
      <c r="Q34" s="234">
        <f>'FIM interventions data'!U35*'Assumptions data'!$N35*'Local food sourcing'!$I34</f>
        <v>91946716.237574652</v>
      </c>
      <c r="R34" s="234">
        <f>'FIM interventions data'!V35*'Assumptions data'!$R34*'Local food sourcing'!$K34</f>
        <v>5691777.1884878492</v>
      </c>
      <c r="S34" s="235">
        <f>'FIM interventions data'!W35*'Assumptions data'!$P34*'Local food sourcing'!$L34</f>
        <v>68548900.994464189</v>
      </c>
      <c r="T34" s="247">
        <f>'FIM interventions data'!X35*'Assumptions data'!$L35*'Local food sourcing'!$I34</f>
        <v>2233621.5975637771</v>
      </c>
      <c r="U34" s="234">
        <f>'FIM interventions data'!Y35*'Assumptions data'!$N35*'Local food sourcing'!$I34</f>
        <v>5156929.524363731</v>
      </c>
      <c r="V34" s="234">
        <f>'FIM interventions data'!Z35*'Assumptions data'!$R34*'Local food sourcing'!$K34</f>
        <v>319229.38665446377</v>
      </c>
      <c r="W34" s="235">
        <f>'FIM interventions data'!AA35*'Assumptions data'!$P34*'Local food sourcing'!$L34</f>
        <v>3844638.1324554328</v>
      </c>
      <c r="X34" s="118">
        <f>'FIM interventions data'!E35*'Assumptions data'!S35+D34</f>
        <v>1230236895.5331759</v>
      </c>
      <c r="Y34" s="118">
        <f>'FIM interventions data'!G35*'Assumptions data'!T35+E34</f>
        <v>1506887134.6178296</v>
      </c>
      <c r="Z34" s="118">
        <f>'FIM interventions data'!I35*'Assumptions data'!U34+F34</f>
        <v>1007902279.4200987</v>
      </c>
      <c r="AA34" s="178">
        <f>'FIM interventions data'!K35*'Assumptions data'!$V35+G34</f>
        <v>1123427363.4509313</v>
      </c>
      <c r="AB34" s="234">
        <f>'FIM interventions data'!L35*'Assumptions data'!$S35+H34</f>
        <v>323392506.35072714</v>
      </c>
      <c r="AC34" s="234">
        <f>'FIM interventions data'!M35*'Assumptions data'!$T35+I34</f>
        <v>396115584.74721748</v>
      </c>
      <c r="AD34" s="234">
        <f>'FIM interventions data'!N35*'Assumptions data'!$U34+J34</f>
        <v>264947381.66425499</v>
      </c>
      <c r="AE34" s="235">
        <f>'FIM interventions data'!O35*'Assumptions data'!$V35+K34</f>
        <v>295315473.05117267</v>
      </c>
      <c r="AF34" s="234">
        <f>'FIM interventions data'!P35*'Assumptions data'!$S35+L34</f>
        <v>258520759.71553022</v>
      </c>
      <c r="AG34" s="234">
        <f>'FIM interventions data'!Q35*'Assumptions data'!$T35+M34</f>
        <v>316655766.26859874</v>
      </c>
      <c r="AH34" s="234">
        <f>'FIM interventions data'!R35*'Assumptions data'!$U34+N34</f>
        <v>211799584.243303</v>
      </c>
      <c r="AI34" s="235">
        <f>'FIM interventions data'!S35*'Assumptions data'!$V35+O34</f>
        <v>236075910.69578508</v>
      </c>
      <c r="AJ34" s="234">
        <f>'FIM interventions data'!T35*'Assumptions data'!$S35+P34</f>
        <v>663084483.61500382</v>
      </c>
      <c r="AK34" s="234">
        <f>'FIM interventions data'!U35*'Assumptions data'!$T35+Q34</f>
        <v>812195993.43190956</v>
      </c>
      <c r="AL34" s="234">
        <f>'FIM interventions data'!V35*'Assumptions data'!$U34+R34</f>
        <v>543248511.65678477</v>
      </c>
      <c r="AM34" s="235">
        <f>'FIM interventions data'!W35*'Assumptions data'!$V35+S34</f>
        <v>605515292.1177671</v>
      </c>
      <c r="AN34" s="234">
        <f>'FIM interventions data'!X35*'Assumptions data'!$S35+T34</f>
        <v>37189799.599436894</v>
      </c>
      <c r="AO34" s="234">
        <f>'FIM interventions data'!Y35*'Assumptions data'!$T35+U34</f>
        <v>45552877.465212964</v>
      </c>
      <c r="AP34" s="234">
        <f>'FIM interventions data'!Z35*'Assumptions data'!$U34+V34</f>
        <v>30468671.459576044</v>
      </c>
      <c r="AQ34" s="235">
        <f>'FIM interventions data'!AA35*'Assumptions data'!$V35+W34</f>
        <v>33960970.170022994</v>
      </c>
      <c r="AR34" s="118">
        <f>'FIM interventions data'!AB35*'Assumptions data'!$L35*'Local food sourcing'!$I34</f>
        <v>22061422.531529214</v>
      </c>
      <c r="AS34" s="118">
        <f>'FIM interventions data'!AC35*'Assumptions data'!$N35*'Local food sourcing'!$I34</f>
        <v>50934859.031805083</v>
      </c>
      <c r="AT34" s="118">
        <f>'FIM interventions data'!AD35*'Assumptions data'!$R34*'Local food sourcing'!$K34</f>
        <v>3153020.3643922945</v>
      </c>
      <c r="AU34" s="178">
        <f>'FIM interventions data'!AE35*'Assumptions data'!$P34*'Local food sourcing'!$L34</f>
        <v>37973391.022651441</v>
      </c>
      <c r="AV34" s="234">
        <f>'FIM interventions data'!AF35*'Assumptions data'!$L35*'Local food sourcing'!$I34</f>
        <v>16368514.386805173</v>
      </c>
      <c r="AW34" s="234">
        <f>'FIM interventions data'!AG35*'Assumptions data'!$N35*'Local food sourcing'!$I34</f>
        <v>37791215.487599105</v>
      </c>
      <c r="AX34" s="234">
        <f>'FIM interventions data'!AH35*'Assumptions data'!$R34*'Local food sourcing'!$K34</f>
        <v>2339389.4533630293</v>
      </c>
      <c r="AY34" s="235">
        <f>'FIM interventions data'!AI35*'Assumptions data'!$P34*'Local food sourcing'!$L34</f>
        <v>28174429.658002816</v>
      </c>
      <c r="AZ34" s="234">
        <f>'FIM interventions data'!AJ35*'Assumptions data'!$L35*'Local food sourcing'!$I34</f>
        <v>4459487.5645804638</v>
      </c>
      <c r="BA34" s="234">
        <f>'FIM interventions data'!AK35*'Assumptions data'!$N35*'Local food sourcing'!$I34</f>
        <v>10295953.043434547</v>
      </c>
      <c r="BB34" s="234">
        <f>'FIM interventions data'!AL35*'Assumptions data'!$R34*'Local food sourcing'!$K34</f>
        <v>637350.33793860045</v>
      </c>
      <c r="BC34" s="235">
        <f>'FIM interventions data'!AM35*'Assumptions data'!$P34*'Local food sourcing'!$L34</f>
        <v>7675926.8269509627</v>
      </c>
      <c r="BD34" s="234">
        <f>'FIM interventions data'!AN35*'Assumptions data'!$L35*'Local food sourcing'!$I34</f>
        <v>5800101.4888205854</v>
      </c>
      <c r="BE34" s="234">
        <f>'FIM interventions data'!AO35*'Assumptions data'!$N35*'Local food sourcing'!$I34</f>
        <v>13391128.848605638</v>
      </c>
      <c r="BF34" s="234">
        <f>'FIM interventions data'!AP35*'Assumptions data'!$R34*'Local food sourcing'!$K34</f>
        <v>828950.99278648931</v>
      </c>
      <c r="BG34" s="235">
        <f>'FIM interventions data'!AQ35*'Assumptions data'!$P34*'Local food sourcing'!$L34</f>
        <v>9983468.7219863515</v>
      </c>
      <c r="BH34" s="234">
        <f>'FIM interventions data'!AR35*'Assumptions data'!$L35*'Local food sourcing'!$I34</f>
        <v>359470.58436351526</v>
      </c>
      <c r="BI34" s="234">
        <f>'FIM interventions data'!AS35*'Assumptions data'!$N35*'Local food sourcing'!$I34</f>
        <v>829936.66951752524</v>
      </c>
      <c r="BJ34" s="234">
        <f>'FIM interventions data'!AT35*'Assumptions data'!$R34*'Local food sourcing'!$K34</f>
        <v>51375.566162079107</v>
      </c>
      <c r="BK34" s="235">
        <f>'FIM interventions data'!AU35*'Assumptions data'!$P34*'Local food sourcing'!$L34</f>
        <v>618741.47243534937</v>
      </c>
      <c r="BL34" s="118">
        <f>'FIM interventions data'!AB35*'Assumptions data'!$S35*'Assumptions data'!$W35+AR34</f>
        <v>281007369.49535334</v>
      </c>
      <c r="BM34" s="118">
        <f>'FIM interventions data'!AC35*'Assumptions data'!$T35*'Assumptions data'!$X35+AS34</f>
        <v>250429723.57304168</v>
      </c>
      <c r="BN34" s="234">
        <f>'FIM interventions data'!AD35*'Assumptions data'!$U34*'Assumptions data'!$Z35+AT34</f>
        <v>18042283.196244799</v>
      </c>
      <c r="BO34" s="235">
        <f>'FIM interventions data'!AE35*'Assumptions data'!$V35*'Assumptions data'!$Y35+AU34</f>
        <v>186702505.86136961</v>
      </c>
      <c r="BP34" s="234">
        <f>'FIM interventions data'!AF35*'Assumptions data'!$S35*'Assumptions data'!$W35+AV34</f>
        <v>208493952.00193092</v>
      </c>
      <c r="BQ34" s="234">
        <f>'FIM interventions data'!AG35*'Assumptions data'!$T35*'Assumptions data'!$X35+AW34</f>
        <v>185806809.48069564</v>
      </c>
      <c r="BR34" s="234">
        <f>'FIM interventions data'!AH35*'Assumptions data'!$U34*'Assumptions data'!$Z35+AX34</f>
        <v>13386506.316466225</v>
      </c>
      <c r="BS34" s="235">
        <f>'FIM interventions data'!AI35*'Assumptions data'!$V35*'Assumptions data'!$Y35+AY34</f>
        <v>138524279.15184721</v>
      </c>
      <c r="BT34" s="234">
        <f>'FIM interventions data'!AJ35*'Assumptions data'!$S35*'Assumptions data'!$W35+AZ34</f>
        <v>56802722.853843667</v>
      </c>
      <c r="BU34" s="234">
        <f>'FIM interventions data'!AK35*'Assumptions data'!$T35*'Assumptions data'!$X35+BA34</f>
        <v>50621769.130219862</v>
      </c>
      <c r="BV34" s="234">
        <f>'FIM interventions data'!AL35*'Assumptions data'!$U34*'Assumptions data'!$Z35+BB34</f>
        <v>3647060.2670931024</v>
      </c>
      <c r="BW34" s="235">
        <f>'FIM interventions data'!AM35*'Assumptions data'!$V35*'Assumptions data'!$Y35+BC34</f>
        <v>37739973.565842234</v>
      </c>
      <c r="BX34" s="234">
        <f>'FIM interventions data'!AN35*'Assumptions data'!$S35*'Assumptions data'!$W35+BD34</f>
        <v>73878792.713852212</v>
      </c>
      <c r="BY34" s="234">
        <f>'FIM interventions data'!AO35*'Assumptions data'!$T35*'Assumptions data'!$X35+BE34</f>
        <v>65839716.838977732</v>
      </c>
      <c r="BZ34" s="234">
        <f>'FIM interventions data'!AP35*'Assumptions data'!$U34*'Assumptions data'!$Z35+BF34</f>
        <v>4743441.7920560222</v>
      </c>
      <c r="CA34" s="235">
        <f>'FIM interventions data'!AQ35*'Assumptions data'!$V35*'Assumptions data'!$Y35+BG34</f>
        <v>49085387.883099563</v>
      </c>
      <c r="CB34" s="234">
        <f>'FIM interventions data'!AR35*'Assumptions data'!$S35*'Assumptions data'!$W35+BH34</f>
        <v>4578756.5683302758</v>
      </c>
      <c r="CC34" s="234">
        <f>'FIM interventions data'!AS35*'Assumptions data'!$T35*'Assumptions data'!$X35+BI34</f>
        <v>4080521.9584611664</v>
      </c>
      <c r="CD34" s="234">
        <f>'FIM interventions data'!AT35*'Assumptions data'!$U34*'Assumptions data'!$Z35+BJ34</f>
        <v>293982.40637189714</v>
      </c>
      <c r="CE34" s="234">
        <f>'FIM interventions data'!AU35*'Assumptions data'!$V35*'Assumptions data'!$Y35+BK34</f>
        <v>3042145.5728071351</v>
      </c>
      <c r="CF34" s="247">
        <f>'FIM interventions data'!AV35*'Assumptions data'!$L35*'Local food sourcing'!$I34</f>
        <v>17752638.322303779</v>
      </c>
      <c r="CG34" s="234">
        <f>'FIM interventions data'!AW35*'Assumptions data'!$N35*'Local food sourcing'!$I34</f>
        <v>40986846.115515925</v>
      </c>
      <c r="CH34" s="234">
        <f>'FIM interventions data'!AX35*'Assumptions data'!$R34*'Local food sourcing'!$K34</f>
        <v>2537208.5626807921</v>
      </c>
      <c r="CI34" s="234">
        <f>'FIM interventions data'!AY35*'Assumptions data'!$P34*'Local food sourcing'!$L34</f>
        <v>30556863.490244769</v>
      </c>
      <c r="CJ34" s="247">
        <f>'FIM interventions data'!AV35*'Assumptions data'!$S35*'Assumptions data'!$W35+CF34</f>
        <v>226124230.63034442</v>
      </c>
      <c r="CK34" s="234">
        <f>'FIM interventions data'!AW35*'Assumptions data'!$T35*'Assumptions data'!$X35+CG34</f>
        <v>201518660.06795335</v>
      </c>
      <c r="CL34" s="234">
        <f>'FIM interventions data'!AX35*'Assumptions data'!$U34*'Assumptions data'!$Z35+CH34</f>
        <v>14518471.219784532</v>
      </c>
      <c r="CM34" s="235">
        <f>'FIM interventions data'!AY35*'Assumptions data'!$V35*'Assumptions data'!$Y35+CI34</f>
        <v>150237912.16037014</v>
      </c>
    </row>
    <row r="35" spans="1:91">
      <c r="A35" s="9">
        <v>34</v>
      </c>
      <c r="B35" s="1" t="s">
        <v>479</v>
      </c>
      <c r="C35" s="1" t="s">
        <v>480</v>
      </c>
      <c r="D35" s="78">
        <f>'FIM interventions data'!E36*'Assumptions data'!L36*'Local food sourcing'!I35</f>
        <v>5777668.0479575088</v>
      </c>
      <c r="E35" s="118">
        <f>'FIM interventions data'!G36*'Assumptions data'!N36*'Local food sourcing'!I35</f>
        <v>13339335.082980316</v>
      </c>
      <c r="F35" s="118">
        <f>'FIM interventions data'!I36*'Assumptions data'!$R35*'Local food sourcing'!$K35</f>
        <v>825744.80353085173</v>
      </c>
      <c r="G35" s="178">
        <f>'FIM interventions data'!K36*'Assumptions data'!$P35*'Local food sourcing'!$L35</f>
        <v>9944854.9915861599</v>
      </c>
      <c r="H35" s="247">
        <f>'FIM interventions data'!L36*'Assumptions data'!$L36*'Local food sourcing'!$I35</f>
        <v>678405.21161335998</v>
      </c>
      <c r="I35" s="234">
        <f>'FIM interventions data'!M36*'Assumptions data'!$N36*'Local food sourcing'!$I35</f>
        <v>1566284.9379084527</v>
      </c>
      <c r="J35" s="234">
        <f>'FIM interventions data'!N36*'Assumptions data'!$R35*'Local food sourcing'!$K35</f>
        <v>96957.729922890794</v>
      </c>
      <c r="K35" s="235">
        <f>'FIM interventions data'!O36*'Assumptions data'!$P35*'Local food sourcing'!$L35</f>
        <v>1167710.1209399225</v>
      </c>
      <c r="L35" s="247">
        <f>'FIM interventions data'!P36*'Assumptions data'!$L36*'Local food sourcing'!$I35</f>
        <v>725099.70710840763</v>
      </c>
      <c r="M35" s="234">
        <f>'FIM interventions data'!Q36*'Assumptions data'!$N36*'Local food sourcing'!$I35</f>
        <v>1674092.0179914548</v>
      </c>
      <c r="N35" s="234">
        <f>'FIM interventions data'!R36*'Assumptions data'!$R35*'Local food sourcing'!$K35</f>
        <v>103631.31114778674</v>
      </c>
      <c r="O35" s="235">
        <f>'FIM interventions data'!S36*'Assumptions data'!$P35*'Local food sourcing'!$L35</f>
        <v>1248083.3758152497</v>
      </c>
      <c r="P35" s="247">
        <f>'FIM interventions data'!T36*'Assumptions data'!$L36*'Local food sourcing'!$I35</f>
        <v>3299744.2306466</v>
      </c>
      <c r="Q35" s="234">
        <f>'FIM interventions data'!U36*'Assumptions data'!$N36*'Local food sourcing'!$I35</f>
        <v>7618366.7208583467</v>
      </c>
      <c r="R35" s="234">
        <f>'FIM interventions data'!V36*'Assumptions data'!$R35*'Local food sourcing'!$K35</f>
        <v>471599.72307522531</v>
      </c>
      <c r="S35" s="235">
        <f>'FIM interventions data'!W36*'Assumptions data'!$P35*'Local food sourcing'!$L35</f>
        <v>5679709.8086492233</v>
      </c>
      <c r="T35" s="247">
        <f>'FIM interventions data'!X36*'Assumptions data'!$L36*'Local food sourcing'!$I35</f>
        <v>181837.87649040521</v>
      </c>
      <c r="U35" s="234">
        <f>'FIM interventions data'!Y36*'Assumptions data'!$N36*'Local food sourcing'!$I35</f>
        <v>419822.72867694229</v>
      </c>
      <c r="V35" s="234">
        <f>'FIM interventions data'!Z36*'Assumptions data'!$R35*'Local food sourcing'!$K35</f>
        <v>25988.284607336995</v>
      </c>
      <c r="W35" s="235">
        <f>'FIM interventions data'!AA36*'Assumptions data'!$P35*'Local food sourcing'!$L35</f>
        <v>312989.82542174833</v>
      </c>
      <c r="X35" s="118">
        <f>'FIM interventions data'!E36*'Assumptions data'!S36+D35</f>
        <v>96198172.998492524</v>
      </c>
      <c r="Y35" s="118">
        <f>'FIM interventions data'!G36*'Assumptions data'!T36+E35</f>
        <v>117830793.23299281</v>
      </c>
      <c r="Z35" s="118">
        <f>'FIM interventions data'!I36*'Assumptions data'!U35+F35</f>
        <v>78812754.025889084</v>
      </c>
      <c r="AA35" s="178">
        <f>'FIM interventions data'!K36*'Assumptions data'!$V36+G35</f>
        <v>87846219.092344433</v>
      </c>
      <c r="AB35" s="234">
        <f>'FIM interventions data'!L36*'Assumptions data'!$S36+H35</f>
        <v>11295446.773362445</v>
      </c>
      <c r="AC35" s="234">
        <f>'FIM interventions data'!M36*'Assumptions data'!$T36+I35</f>
        <v>13835516.951524667</v>
      </c>
      <c r="AD35" s="234">
        <f>'FIM interventions data'!N36*'Assumptions data'!$U35+J35</f>
        <v>9254076.6670848001</v>
      </c>
      <c r="AE35" s="235">
        <f>'FIM interventions data'!O36*'Assumptions data'!$V36+K35</f>
        <v>10314772.734969318</v>
      </c>
      <c r="AF35" s="234">
        <f>'FIM interventions data'!P36*'Assumptions data'!$S36+L35</f>
        <v>12072910.123354988</v>
      </c>
      <c r="AG35" s="234">
        <f>'FIM interventions data'!Q36*'Assumptions data'!$T36+M35</f>
        <v>14787812.825591186</v>
      </c>
      <c r="AH35" s="234">
        <f>'FIM interventions data'!R36*'Assumptions data'!$U35+N35</f>
        <v>9891032.9195498675</v>
      </c>
      <c r="AI35" s="235">
        <f>'FIM interventions data'!S36*'Assumptions data'!$V36+O35</f>
        <v>11024736.48636804</v>
      </c>
      <c r="AJ35" s="234">
        <f>'FIM interventions data'!T36*'Assumptions data'!$S36+P35</f>
        <v>54940741.440265901</v>
      </c>
      <c r="AK35" s="234">
        <f>'FIM interventions data'!U36*'Assumptions data'!$T36+Q35</f>
        <v>67295572.700915411</v>
      </c>
      <c r="AL35" s="234">
        <f>'FIM interventions data'!V36*'Assumptions data'!$U35+R35</f>
        <v>45011573.56906873</v>
      </c>
      <c r="AM35" s="235">
        <f>'FIM interventions data'!W36*'Assumptions data'!$V36+S35</f>
        <v>50170769.976401478</v>
      </c>
      <c r="AN35" s="234">
        <f>'FIM interventions data'!X36*'Assumptions data'!$S36+T35</f>
        <v>3027600.6435652468</v>
      </c>
      <c r="AO35" s="234">
        <f>'FIM interventions data'!Y36*'Assumptions data'!$T36+U35</f>
        <v>3708434.1033129911</v>
      </c>
      <c r="AP35" s="234">
        <f>'FIM interventions data'!Z36*'Assumptions data'!$U35+V35</f>
        <v>2480437.3864113865</v>
      </c>
      <c r="AQ35" s="235">
        <f>'FIM interventions data'!AA36*'Assumptions data'!$V36+W35</f>
        <v>2764743.4578921106</v>
      </c>
      <c r="AR35" s="118">
        <f>'FIM interventions data'!AB36*'Assumptions data'!$L36*'Local food sourcing'!$I35</f>
        <v>1521043.2311551489</v>
      </c>
      <c r="AS35" s="118">
        <f>'FIM interventions data'!AC36*'Assumptions data'!$N36*'Local food sourcing'!$I35</f>
        <v>3511746.4637398697</v>
      </c>
      <c r="AT35" s="118">
        <f>'FIM interventions data'!AD36*'Assumptions data'!$R35*'Local food sourcing'!$K35</f>
        <v>217387.62657299996</v>
      </c>
      <c r="AU35" s="178">
        <f>'FIM interventions data'!AE36*'Assumptions data'!$P35*'Local food sourcing'!$L35</f>
        <v>2618107.2093816618</v>
      </c>
      <c r="AV35" s="234">
        <f>'FIM interventions data'!AF36*'Assumptions data'!$L36*'Local food sourcing'!$I35</f>
        <v>749132.37974873115</v>
      </c>
      <c r="AW35" s="234">
        <f>'FIM interventions data'!AG36*'Assumptions data'!$N36*'Local food sourcing'!$I35</f>
        <v>1729578.0498347308</v>
      </c>
      <c r="AX35" s="234">
        <f>'FIM interventions data'!AH36*'Assumptions data'!$R35*'Local food sourcing'!$K35</f>
        <v>107066.06274358336</v>
      </c>
      <c r="AY35" s="235">
        <f>'FIM interventions data'!AI36*'Assumptions data'!$P35*'Local food sourcing'!$L35</f>
        <v>1289449.7960533884</v>
      </c>
      <c r="AZ35" s="234">
        <f>'FIM interventions data'!AJ36*'Assumptions data'!$L36*'Local food sourcing'!$I35</f>
        <v>252087.95547998842</v>
      </c>
      <c r="BA35" s="234">
        <f>'FIM interventions data'!AK36*'Assumptions data'!$N36*'Local food sourcing'!$I35</f>
        <v>582014.34914900479</v>
      </c>
      <c r="BB35" s="234">
        <f>'FIM interventions data'!AL36*'Assumptions data'!$R35*'Local food sourcing'!$K35</f>
        <v>36028.431807172608</v>
      </c>
      <c r="BC35" s="235">
        <f>'FIM interventions data'!AM36*'Assumptions data'!$P35*'Local food sourcing'!$L35</f>
        <v>433908.30722096731</v>
      </c>
      <c r="BD35" s="234">
        <f>'FIM interventions data'!AN36*'Assumptions data'!$L36*'Local food sourcing'!$I35</f>
        <v>415111.01411372441</v>
      </c>
      <c r="BE35" s="234">
        <f>'FIM interventions data'!AO36*'Assumptions data'!$N36*'Local food sourcing'!$I35</f>
        <v>958397.89824136079</v>
      </c>
      <c r="BF35" s="234">
        <f>'FIM interventions data'!AP36*'Assumptions data'!$R35*'Local food sourcing'!$K35</f>
        <v>59327.701063408516</v>
      </c>
      <c r="BG35" s="235">
        <f>'FIM interventions data'!AQ36*'Assumptions data'!$P35*'Local food sourcing'!$L35</f>
        <v>714512.98456488049</v>
      </c>
      <c r="BH35" s="234">
        <f>'FIM interventions data'!AR36*'Assumptions data'!$L36*'Local food sourcing'!$I35</f>
        <v>23531.786435318812</v>
      </c>
      <c r="BI35" s="234">
        <f>'FIM interventions data'!AS36*'Assumptions data'!$N36*'Local food sourcing'!$I35</f>
        <v>54329.598335580456</v>
      </c>
      <c r="BJ35" s="234">
        <f>'FIM interventions data'!AT36*'Assumptions data'!$R35*'Local food sourcing'!$K35</f>
        <v>3363.1648972341927</v>
      </c>
      <c r="BK35" s="235">
        <f>'FIM interventions data'!AU36*'Assumptions data'!$P35*'Local food sourcing'!$L35</f>
        <v>40504.266055047832</v>
      </c>
      <c r="BL35" s="118">
        <f>'FIM interventions data'!AB36*'Assumptions data'!$S36*'Assumptions data'!$W36+AR35</f>
        <v>19374288.156838715</v>
      </c>
      <c r="BM35" s="118">
        <f>'FIM interventions data'!AC36*'Assumptions data'!$T36*'Assumptions data'!$X36+AS35</f>
        <v>17266086.780054361</v>
      </c>
      <c r="BN35" s="234">
        <f>'FIM interventions data'!AD36*'Assumptions data'!$U35*'Assumptions data'!$Z36+AT35</f>
        <v>1243940.3076121665</v>
      </c>
      <c r="BO35" s="235">
        <f>'FIM interventions data'!AE36*'Assumptions data'!$V36*'Assumptions data'!$Y36+AU35</f>
        <v>12872360.446126508</v>
      </c>
      <c r="BP35" s="234">
        <f>'FIM interventions data'!AF36*'Assumptions data'!$S36*'Assumptions data'!$W36+AV35</f>
        <v>9542073.6870494634</v>
      </c>
      <c r="BQ35" s="234">
        <f>'FIM interventions data'!AG36*'Assumptions data'!$T36*'Assumptions data'!$X36+AW35</f>
        <v>8503758.7450207602</v>
      </c>
      <c r="BR35" s="234">
        <f>'FIM interventions data'!AH36*'Assumptions data'!$U35*'Assumptions data'!$Z36+AX35</f>
        <v>612655.80347717146</v>
      </c>
      <c r="BS35" s="235">
        <f>'FIM interventions data'!AI36*'Assumptions data'!$V36*'Assumptions data'!$Y36+AY35</f>
        <v>6339794.8305958267</v>
      </c>
      <c r="BT35" s="234">
        <f>'FIM interventions data'!AJ36*'Assumptions data'!$S36*'Assumptions data'!$W36+AZ35</f>
        <v>3210970.3329263525</v>
      </c>
      <c r="BU35" s="234">
        <f>'FIM interventions data'!AK36*'Assumptions data'!$T36*'Assumptions data'!$X36+BA35</f>
        <v>2861570.5499826074</v>
      </c>
      <c r="BV35" s="234">
        <f>'FIM interventions data'!AL36*'Assumptions data'!$U35*'Assumptions data'!$Z36+BB35</f>
        <v>206162.69311882104</v>
      </c>
      <c r="BW35" s="235">
        <f>'FIM interventions data'!AM36*'Assumptions data'!$V36*'Assumptions data'!$Y36+BC35</f>
        <v>2133382.5105030895</v>
      </c>
      <c r="BX35" s="234">
        <f>'FIM interventions data'!AN36*'Assumptions data'!$S36*'Assumptions data'!$W36+BD35</f>
        <v>5287476.5422735652</v>
      </c>
      <c r="BY35" s="234">
        <f>'FIM interventions data'!AO36*'Assumptions data'!$T36*'Assumptions data'!$X36+BE35</f>
        <v>4712122.999686691</v>
      </c>
      <c r="BZ35" s="234">
        <f>'FIM interventions data'!AP36*'Assumptions data'!$U35*'Assumptions data'!$Z36+BF35</f>
        <v>339486.28941839322</v>
      </c>
      <c r="CA35" s="235">
        <f>'FIM interventions data'!AQ36*'Assumptions data'!$V36*'Assumptions data'!$Y36+BG35</f>
        <v>3513022.1741106627</v>
      </c>
      <c r="CB35" s="234">
        <f>'FIM interventions data'!AR36*'Assumptions data'!$S36*'Assumptions data'!$W36+BH35</f>
        <v>299736.12971987342</v>
      </c>
      <c r="CC35" s="234">
        <f>'FIM interventions data'!AS36*'Assumptions data'!$T36*'Assumptions data'!$X36+BI35</f>
        <v>267120.52514993725</v>
      </c>
      <c r="CD35" s="234">
        <f>'FIM interventions data'!AT36*'Assumptions data'!$U35*'Assumptions data'!$Z36+BJ35</f>
        <v>19244.776911951216</v>
      </c>
      <c r="CE35" s="234">
        <f>'FIM interventions data'!AU36*'Assumptions data'!$V36*'Assumptions data'!$Y36+BK35</f>
        <v>199145.97477065187</v>
      </c>
      <c r="CF35" s="247">
        <f>'FIM interventions data'!AV36*'Assumptions data'!$L36*'Local food sourcing'!$I35</f>
        <v>1010070.603434592</v>
      </c>
      <c r="CG35" s="234">
        <f>'FIM interventions data'!AW36*'Assumptions data'!$N36*'Local food sourcing'!$I35</f>
        <v>2332025.6762493127</v>
      </c>
      <c r="CH35" s="234">
        <f>'FIM interventions data'!AX36*'Assumptions data'!$R35*'Local food sourcing'!$K35</f>
        <v>144359.37562737602</v>
      </c>
      <c r="CI35" s="234">
        <f>'FIM interventions data'!AY36*'Assumptions data'!$P35*'Local food sourcing'!$L35</f>
        <v>1738591.6946149252</v>
      </c>
      <c r="CJ35" s="247">
        <f>'FIM interventions data'!AV36*'Assumptions data'!$S36*'Assumptions data'!$W36+CF35</f>
        <v>12865774.31124812</v>
      </c>
      <c r="CK35" s="234">
        <f>'FIM interventions data'!AW36*'Assumptions data'!$T36*'Assumptions data'!$X36+CG35</f>
        <v>11465792.908225788</v>
      </c>
      <c r="CL35" s="234">
        <f>'FIM interventions data'!AX36*'Assumptions data'!$U35*'Assumptions data'!$Z36+CH35</f>
        <v>826056.4272010962</v>
      </c>
      <c r="CM35" s="235">
        <f>'FIM interventions data'!AY36*'Assumptions data'!$V36*'Assumptions data'!$Y36+CI35</f>
        <v>8548075.8318567164</v>
      </c>
    </row>
    <row r="36" spans="1:91">
      <c r="A36" s="9">
        <v>35</v>
      </c>
      <c r="B36" s="1" t="s">
        <v>484</v>
      </c>
      <c r="C36" s="1" t="s">
        <v>485</v>
      </c>
      <c r="D36" s="78">
        <f>'FIM interventions data'!E37*'Assumptions data'!L37*'Local food sourcing'!I36</f>
        <v>161978249.69798774</v>
      </c>
      <c r="E36" s="118">
        <f>'FIM interventions data'!G37*'Assumptions data'!N37*'Local food sourcing'!I36</f>
        <v>373971320.42571181</v>
      </c>
      <c r="F36" s="118">
        <f>'FIM interventions data'!I37*'Assumptions data'!$R36*'Local food sourcing'!$K36</f>
        <v>23149945.075231466</v>
      </c>
      <c r="G36" s="178">
        <f>'FIM interventions data'!K37*'Assumptions data'!$P36*'Local food sourcing'!$L36</f>
        <v>278806292.03106993</v>
      </c>
      <c r="H36" s="247">
        <f>'FIM interventions data'!L37*'Assumptions data'!$L37*'Local food sourcing'!$I36</f>
        <v>44756381.448101446</v>
      </c>
      <c r="I36" s="234">
        <f>'FIM interventions data'!M37*'Assumptions data'!$N37*'Local food sourcing'!$I36</f>
        <v>103332410.98006049</v>
      </c>
      <c r="J36" s="234">
        <f>'FIM interventions data'!N37*'Assumptions data'!$R36*'Local food sourcing'!$K36</f>
        <v>6396585.8022389095</v>
      </c>
      <c r="K36" s="235">
        <f>'FIM interventions data'!O37*'Assumptions data'!$P36*'Local food sourcing'!$L36</f>
        <v>77037261.357864603</v>
      </c>
      <c r="L36" s="247">
        <f>'FIM interventions data'!P37*'Assumptions data'!$L37*'Local food sourcing'!$I36</f>
        <v>31206510.977869309</v>
      </c>
      <c r="M36" s="234">
        <f>'FIM interventions data'!Q37*'Assumptions data'!$N37*'Local food sourcing'!$I36</f>
        <v>72048809.874368191</v>
      </c>
      <c r="N36" s="234">
        <f>'FIM interventions data'!R37*'Assumptions data'!$R36*'Local food sourcing'!$K36</f>
        <v>4460037.1745852809</v>
      </c>
      <c r="O36" s="235">
        <f>'FIM interventions data'!S37*'Assumptions data'!$P36*'Local food sourcing'!$L36</f>
        <v>53714443.940399669</v>
      </c>
      <c r="P36" s="247">
        <f>'FIM interventions data'!T37*'Assumptions data'!$L37*'Local food sourcing'!$I36</f>
        <v>88656166.152200803</v>
      </c>
      <c r="Q36" s="234">
        <f>'FIM interventions data'!U37*'Assumptions data'!$N37*'Local food sourcing'!$I36</f>
        <v>204687132.88134578</v>
      </c>
      <c r="R36" s="234">
        <f>'FIM interventions data'!V37*'Assumptions data'!$R36*'Local food sourcing'!$K36</f>
        <v>12670746.725753395</v>
      </c>
      <c r="S36" s="235">
        <f>'FIM interventions data'!W37*'Assumptions data'!$P36*'Local food sourcing'!$L36</f>
        <v>152600099.06683555</v>
      </c>
      <c r="T36" s="247">
        <f>'FIM interventions data'!X37*'Assumptions data'!$L37*'Local food sourcing'!$I36</f>
        <v>1051281.1626479374</v>
      </c>
      <c r="U36" s="234">
        <f>'FIM interventions data'!Y37*'Assumptions data'!$N37*'Local food sourcing'!$I36</f>
        <v>2427171.5817843582</v>
      </c>
      <c r="V36" s="234">
        <f>'FIM interventions data'!Z37*'Assumptions data'!$R36*'Local food sourcing'!$K36</f>
        <v>150249.19221748802</v>
      </c>
      <c r="W36" s="235">
        <f>'FIM interventions data'!AA37*'Assumptions data'!$P36*'Local food sourcing'!$L36</f>
        <v>1809525.6825313433</v>
      </c>
      <c r="X36" s="118">
        <f>'FIM interventions data'!E37*'Assumptions data'!S37+D36</f>
        <v>1682954014.3620927</v>
      </c>
      <c r="Y36" s="118">
        <f>'FIM interventions data'!G37*'Assumptions data'!T37+E36</f>
        <v>2131636526.4265575</v>
      </c>
      <c r="Z36" s="118">
        <f>'FIM interventions data'!I37*'Assumptions data'!U36+F36</f>
        <v>1334980166.0050147</v>
      </c>
      <c r="AA36" s="178">
        <f>'FIM interventions data'!K37*'Assumptions data'!$V37+G36</f>
        <v>1589195864.5770988</v>
      </c>
      <c r="AB36" s="234">
        <f>'FIM interventions data'!L37*'Assumptions data'!$S37+H36</f>
        <v>465018803.24577409</v>
      </c>
      <c r="AC36" s="234">
        <f>'FIM interventions data'!M37*'Assumptions data'!$T37+I36</f>
        <v>588994742.58634484</v>
      </c>
      <c r="AD36" s="234">
        <f>'FIM interventions data'!N37*'Assumptions data'!$U36+J36</f>
        <v>368869781.26244372</v>
      </c>
      <c r="AE36" s="235">
        <f>'FIM interventions data'!O37*'Assumptions data'!$V37+K36</f>
        <v>439112389.73982829</v>
      </c>
      <c r="AF36" s="234">
        <f>'FIM interventions data'!P37*'Assumptions data'!$S37+L36</f>
        <v>324235649.06006217</v>
      </c>
      <c r="AG36" s="234">
        <f>'FIM interventions data'!Q37*'Assumptions data'!$T37+M36</f>
        <v>410678216.28389877</v>
      </c>
      <c r="AH36" s="234">
        <f>'FIM interventions data'!R37*'Assumptions data'!$U36+N36</f>
        <v>257195477.06775117</v>
      </c>
      <c r="AI36" s="235">
        <f>'FIM interventions data'!S37*'Assumptions data'!$V37+O36</f>
        <v>306172330.46027815</v>
      </c>
      <c r="AJ36" s="234">
        <f>'FIM interventions data'!T37*'Assumptions data'!$S37+P36</f>
        <v>921137566.32136631</v>
      </c>
      <c r="AK36" s="234">
        <f>'FIM interventions data'!U37*'Assumptions data'!$T37+Q36</f>
        <v>1166716657.423671</v>
      </c>
      <c r="AL36" s="234">
        <f>'FIM interventions data'!V37*'Assumptions data'!$U36+R36</f>
        <v>730679727.8517791</v>
      </c>
      <c r="AM36" s="235">
        <f>'FIM interventions data'!W37*'Assumptions data'!$V37+S36</f>
        <v>869820564.68096268</v>
      </c>
      <c r="AN36" s="234">
        <f>'FIM interventions data'!X37*'Assumptions data'!$S37+T36</f>
        <v>10922811.279912069</v>
      </c>
      <c r="AO36" s="234">
        <f>'FIM interventions data'!Y37*'Assumptions data'!$T37+U36</f>
        <v>13834878.016170843</v>
      </c>
      <c r="AP36" s="234">
        <f>'FIM interventions data'!Z37*'Assumptions data'!$U36+V36</f>
        <v>8664370.0845418088</v>
      </c>
      <c r="AQ36" s="235">
        <f>'FIM interventions data'!AA37*'Assumptions data'!$V37+W36</f>
        <v>10314296.390428659</v>
      </c>
      <c r="AR36" s="118">
        <f>'FIM interventions data'!AB37*'Assumptions data'!$L37*'Local food sourcing'!$I36</f>
        <v>49768355.438877873</v>
      </c>
      <c r="AS36" s="118">
        <f>'FIM interventions data'!AC37*'Assumptions data'!$N37*'Local food sourcing'!$I36</f>
        <v>114903930.82772352</v>
      </c>
      <c r="AT36" s="118">
        <f>'FIM interventions data'!AD37*'Assumptions data'!$R36*'Local food sourcing'!$K36</f>
        <v>7112897.5466940925</v>
      </c>
      <c r="AU36" s="178">
        <f>'FIM interventions data'!AE37*'Assumptions data'!$P36*'Local food sourcing'!$L36</f>
        <v>85664159.640380725</v>
      </c>
      <c r="AV36" s="234">
        <f>'FIM interventions data'!AF37*'Assumptions data'!$L37*'Local food sourcing'!$I36</f>
        <v>35723120.163503669</v>
      </c>
      <c r="AW36" s="234">
        <f>'FIM interventions data'!AG37*'Assumptions data'!$N37*'Local food sourcing'!$I36</f>
        <v>82476643.883859679</v>
      </c>
      <c r="AX36" s="234">
        <f>'FIM interventions data'!AH37*'Assumptions data'!$R36*'Local food sourcing'!$K36</f>
        <v>5105551.3394109579</v>
      </c>
      <c r="AY36" s="235">
        <f>'FIM interventions data'!AI37*'Assumptions data'!$P36*'Local food sourcing'!$L36</f>
        <v>61488691.791256823</v>
      </c>
      <c r="AZ36" s="234">
        <f>'FIM interventions data'!AJ37*'Assumptions data'!$L37*'Local food sourcing'!$I36</f>
        <v>12081696.398050882</v>
      </c>
      <c r="BA36" s="234">
        <f>'FIM interventions data'!AK37*'Assumptions data'!$N37*'Local food sourcing'!$I36</f>
        <v>27893917.630212449</v>
      </c>
      <c r="BB36" s="234">
        <f>'FIM interventions data'!AL37*'Assumptions data'!$R36*'Local food sourcing'!$K36</f>
        <v>1726717.0657294393</v>
      </c>
      <c r="BC36" s="235">
        <f>'FIM interventions data'!AM37*'Assumptions data'!$P36*'Local food sourcing'!$L36</f>
        <v>20795711.649349585</v>
      </c>
      <c r="BD36" s="234">
        <f>'FIM interventions data'!AN37*'Assumptions data'!$L37*'Local food sourcing'!$I36</f>
        <v>10462674.03587215</v>
      </c>
      <c r="BE36" s="234">
        <f>'FIM interventions data'!AO37*'Assumptions data'!$N37*'Local food sourcing'!$I36</f>
        <v>24155959.406119738</v>
      </c>
      <c r="BF36" s="234">
        <f>'FIM interventions data'!AP37*'Assumptions data'!$R36*'Local food sourcing'!$K36</f>
        <v>1495326.2535068598</v>
      </c>
      <c r="BG36" s="235">
        <f>'FIM interventions data'!AQ37*'Assumptions data'!$P36*'Local food sourcing'!$L36</f>
        <v>18008957.116836302</v>
      </c>
      <c r="BH36" s="234">
        <f>'FIM interventions data'!AR37*'Assumptions data'!$L37*'Local food sourcing'!$I36</f>
        <v>390612.44499626389</v>
      </c>
      <c r="BI36" s="234">
        <f>'FIM interventions data'!AS37*'Assumptions data'!$N37*'Local food sourcing'!$I36</f>
        <v>901836.21629653405</v>
      </c>
      <c r="BJ36" s="234">
        <f>'FIM interventions data'!AT37*'Assumptions data'!$R36*'Local food sourcing'!$K36</f>
        <v>55826.363503900233</v>
      </c>
      <c r="BK36" s="235">
        <f>'FIM interventions data'!AU37*'Assumptions data'!$P36*'Local food sourcing'!$L36</f>
        <v>672344.63647838472</v>
      </c>
      <c r="BL36" s="118">
        <f>'FIM interventions data'!AB37*'Assumptions data'!$S37*'Assumptions data'!$W37+AR36</f>
        <v>400261998.61717534</v>
      </c>
      <c r="BM36" s="118">
        <f>'FIM interventions data'!AC37*'Assumptions data'!$T37*'Assumptions data'!$X37+AS36</f>
        <v>384928168.27287382</v>
      </c>
      <c r="BN36" s="234">
        <f>'FIM interventions data'!AD37*'Assumptions data'!$U36*'Assumptions data'!$Z37+AT36</f>
        <v>27266107.262327358</v>
      </c>
      <c r="BO36" s="235">
        <f>'FIM interventions data'!AE37*'Assumptions data'!$V37*'Assumptions data'!$Y37+AU36</f>
        <v>286974934.79527545</v>
      </c>
      <c r="BP36" s="234">
        <f>'FIM interventions data'!AF37*'Assumptions data'!$S37*'Assumptions data'!$W37+AV36</f>
        <v>287303193.91497827</v>
      </c>
      <c r="BQ36" s="234">
        <f>'FIM interventions data'!AG37*'Assumptions data'!$T37*'Assumptions data'!$X37+AW36</f>
        <v>276296757.01092994</v>
      </c>
      <c r="BR36" s="234">
        <f>'FIM interventions data'!AH37*'Assumptions data'!$U36*'Assumptions data'!$Z37+AX36</f>
        <v>19571280.134408671</v>
      </c>
      <c r="BS36" s="235">
        <f>'FIM interventions data'!AI37*'Assumptions data'!$V37*'Assumptions data'!$Y37+AY36</f>
        <v>205987117.50071037</v>
      </c>
      <c r="BT36" s="234">
        <f>'FIM interventions data'!AJ37*'Assumptions data'!$S37*'Assumptions data'!$W37+AZ36</f>
        <v>97167043.281324238</v>
      </c>
      <c r="BU36" s="234">
        <f>'FIM interventions data'!AK37*'Assumptions data'!$T37*'Assumptions data'!$X37+BA36</f>
        <v>93444624.061211705</v>
      </c>
      <c r="BV36" s="234">
        <f>'FIM interventions data'!AL37*'Assumptions data'!$U36*'Assumptions data'!$Z37+BB36</f>
        <v>6619082.0852961838</v>
      </c>
      <c r="BW36" s="235">
        <f>'FIM interventions data'!AM37*'Assumptions data'!$V37*'Assumptions data'!$Y37+BC36</f>
        <v>69665634.025321111</v>
      </c>
      <c r="BX36" s="234">
        <f>'FIM interventions data'!AN37*'Assumptions data'!$S37*'Assumptions data'!$W37+BD36</f>
        <v>84146055.933501765</v>
      </c>
      <c r="BY36" s="234">
        <f>'FIM interventions data'!AO37*'Assumptions data'!$T37*'Assumptions data'!$X37+BE36</f>
        <v>80922464.010501131</v>
      </c>
      <c r="BZ36" s="234">
        <f>'FIM interventions data'!AP37*'Assumptions data'!$U36*'Assumptions data'!$Z37+BF36</f>
        <v>5732083.9717762964</v>
      </c>
      <c r="CA36" s="235">
        <f>'FIM interventions data'!AQ37*'Assumptions data'!$V37*'Assumptions data'!$Y37+BG36</f>
        <v>60330006.341401622</v>
      </c>
      <c r="CB36" s="234">
        <f>'FIM interventions data'!AR37*'Assumptions data'!$S37*'Assumptions data'!$W37+BH36</f>
        <v>3141500.5888824523</v>
      </c>
      <c r="CC36" s="234">
        <f>'FIM interventions data'!AS37*'Assumptions data'!$T37*'Assumptions data'!$X37+BI36</f>
        <v>3021151.3245933894</v>
      </c>
      <c r="CD36" s="234">
        <f>'FIM interventions data'!AT37*'Assumptions data'!$U36*'Assumptions data'!$Z37+BJ36</f>
        <v>214001.06009828424</v>
      </c>
      <c r="CE36" s="234">
        <f>'FIM interventions data'!AU37*'Assumptions data'!$V37*'Assumptions data'!$Y37+BK36</f>
        <v>2252354.5322025889</v>
      </c>
      <c r="CF36" s="247">
        <f>'FIM interventions data'!AV37*'Assumptions data'!$L37*'Local food sourcing'!$I36</f>
        <v>37378885.783037767</v>
      </c>
      <c r="CG36" s="234">
        <f>'FIM interventions data'!AW37*'Assumptions data'!$N37*'Local food sourcing'!$I36</f>
        <v>86299434.018999398</v>
      </c>
      <c r="CH36" s="234">
        <f>'FIM interventions data'!AX37*'Assumptions data'!$R36*'Local food sourcing'!$K36</f>
        <v>5342193.5010662405</v>
      </c>
      <c r="CI36" s="234">
        <f>'FIM interventions data'!AY37*'Assumptions data'!$P36*'Local food sourcing'!$L36</f>
        <v>64338690.934447758</v>
      </c>
      <c r="CJ36" s="247">
        <f>'FIM interventions data'!AV37*'Assumptions data'!$S37*'Assumptions data'!$W37+CF36</f>
        <v>300619688.91008127</v>
      </c>
      <c r="CK36" s="234">
        <f>'FIM interventions data'!AW37*'Assumptions data'!$T37*'Assumptions data'!$X37+CG36</f>
        <v>289103103.96364802</v>
      </c>
      <c r="CL36" s="234">
        <f>'FIM interventions data'!AX37*'Assumptions data'!$U36*'Assumptions data'!$Z37+CH36</f>
        <v>20478408.420753922</v>
      </c>
      <c r="CM36" s="235">
        <f>'FIM interventions data'!AY37*'Assumptions data'!$V37*'Assumptions data'!$Y37+CI36</f>
        <v>215534614.6304</v>
      </c>
    </row>
    <row r="37" spans="1:91">
      <c r="A37" s="9">
        <v>36</v>
      </c>
      <c r="B37" s="1" t="s">
        <v>141</v>
      </c>
      <c r="C37" s="1" t="s">
        <v>489</v>
      </c>
      <c r="D37" s="78">
        <f>'FIM interventions data'!E38*'Assumptions data'!L38*'Local food sourcing'!I37</f>
        <v>21735285.224880368</v>
      </c>
      <c r="E37" s="118">
        <f>'FIM interventions data'!G38*'Assumptions data'!N38*'Local food sourcing'!I37</f>
        <v>50181881.397863731</v>
      </c>
      <c r="F37" s="118">
        <f>'FIM interventions data'!I38*'Assumptions data'!$R37*'Local food sourcing'!$K37</f>
        <v>3106408.7930857642</v>
      </c>
      <c r="G37" s="178">
        <f>'FIM interventions data'!K38*'Assumptions data'!$P37*'Local food sourcing'!$L37</f>
        <v>37412024.707548611</v>
      </c>
      <c r="H37" s="247">
        <f>'FIM interventions data'!L38*'Assumptions data'!$L38*'Local food sourcing'!$I37</f>
        <v>5699460.4092928944</v>
      </c>
      <c r="I37" s="234">
        <f>'FIM interventions data'!M38*'Assumptions data'!$N38*'Local food sourcing'!$I37</f>
        <v>13158771.248309212</v>
      </c>
      <c r="J37" s="234">
        <f>'FIM interventions data'!N38*'Assumptions data'!$R37*'Local food sourcing'!$K37</f>
        <v>814567.36123273394</v>
      </c>
      <c r="K37" s="235">
        <f>'FIM interventions data'!O38*'Assumptions data'!$P37*'Local food sourcing'!$L37</f>
        <v>9810239.4997825269</v>
      </c>
      <c r="L37" s="247">
        <f>'FIM interventions data'!P38*'Assumptions data'!$L38*'Local food sourcing'!$I37</f>
        <v>4199157.1731010322</v>
      </c>
      <c r="M37" s="234">
        <f>'FIM interventions data'!Q38*'Assumptions data'!$N38*'Local food sourcing'!$I37</f>
        <v>9694908.7647735011</v>
      </c>
      <c r="N37" s="234">
        <f>'FIM interventions data'!R38*'Assumptions data'!$R37*'Local food sourcing'!$K37</f>
        <v>600143.896484892</v>
      </c>
      <c r="O37" s="235">
        <f>'FIM interventions data'!S38*'Assumptions data'!$P37*'Local food sourcing'!$L37</f>
        <v>7227831.1641894029</v>
      </c>
      <c r="P37" s="247">
        <f>'FIM interventions data'!T38*'Assumptions data'!$L38*'Local food sourcing'!$I37</f>
        <v>11178299.87611834</v>
      </c>
      <c r="Q37" s="234">
        <f>'FIM interventions data'!U38*'Assumptions data'!$N38*'Local food sourcing'!$I37</f>
        <v>25808178.397907939</v>
      </c>
      <c r="R37" s="234">
        <f>'FIM interventions data'!V38*'Assumptions data'!$R37*'Local food sourcing'!$K37</f>
        <v>1597603.5588055935</v>
      </c>
      <c r="S37" s="235">
        <f>'FIM interventions data'!W38*'Assumptions data'!$P37*'Local food sourcing'!$L37</f>
        <v>19240733.527389389</v>
      </c>
      <c r="T37" s="247">
        <f>'FIM interventions data'!X38*'Assumptions data'!$L38*'Local food sourcing'!$I37</f>
        <v>382435.63675680442</v>
      </c>
      <c r="U37" s="234">
        <f>'FIM interventions data'!Y38*'Assumptions data'!$N38*'Local food sourcing'!$I37</f>
        <v>882957.80651077593</v>
      </c>
      <c r="V37" s="234">
        <f>'FIM interventions data'!Z38*'Assumptions data'!$R37*'Local food sourcing'!$K37</f>
        <v>54657.733382343009</v>
      </c>
      <c r="W37" s="235">
        <f>'FIM interventions data'!AA38*'Assumptions data'!$P37*'Local food sourcing'!$L37</f>
        <v>658270.24321791041</v>
      </c>
      <c r="X37" s="118">
        <f>'FIM interventions data'!E38*'Assumptions data'!S38+D37</f>
        <v>531971105.87894702</v>
      </c>
      <c r="Y37" s="118">
        <f>'FIM interventions data'!G38*'Assumptions data'!T38+E37</f>
        <v>639818987.82276261</v>
      </c>
      <c r="Z37" s="118">
        <f>'FIM interventions data'!I38*'Assumptions data'!U37+F37</f>
        <v>443180987.81356901</v>
      </c>
      <c r="AA37" s="178">
        <f>'FIM interventions data'!K38*'Assumptions data'!$V38+G37</f>
        <v>477003315.02124488</v>
      </c>
      <c r="AB37" s="234">
        <f>'FIM interventions data'!L38*'Assumptions data'!$S38+H37</f>
        <v>139494293.5174436</v>
      </c>
      <c r="AC37" s="234">
        <f>'FIM interventions data'!M38*'Assumptions data'!$T38+I37</f>
        <v>167774333.41594246</v>
      </c>
      <c r="AD37" s="234">
        <f>'FIM interventions data'!N38*'Assumptions data'!$U37+J37</f>
        <v>116211610.20253669</v>
      </c>
      <c r="AE37" s="235">
        <f>'FIM interventions data'!O38*'Assumptions data'!$V38+K37</f>
        <v>125080553.62222722</v>
      </c>
      <c r="AF37" s="234">
        <f>'FIM interventions data'!P38*'Assumptions data'!$S38+L37</f>
        <v>102774371.81164777</v>
      </c>
      <c r="AG37" s="234">
        <f>'FIM interventions data'!Q38*'Assumptions data'!$T38+M37</f>
        <v>123610086.75086217</v>
      </c>
      <c r="AH37" s="234">
        <f>'FIM interventions data'!R38*'Assumptions data'!$U37+N37</f>
        <v>85620529.231844589</v>
      </c>
      <c r="AI37" s="235">
        <f>'FIM interventions data'!S38*'Assumptions data'!$V38+O37</f>
        <v>92154847.343414888</v>
      </c>
      <c r="AJ37" s="234">
        <f>'FIM interventions data'!T38*'Assumptions data'!$S38+P37</f>
        <v>273588889.46799642</v>
      </c>
      <c r="AK37" s="234">
        <f>'FIM interventions data'!U38*'Assumptions data'!$T38+Q37</f>
        <v>329054274.57332623</v>
      </c>
      <c r="AL37" s="234">
        <f>'FIM interventions data'!V38*'Assumptions data'!$U37+R37</f>
        <v>227924774.38959801</v>
      </c>
      <c r="AM37" s="235">
        <f>'FIM interventions data'!W38*'Assumptions data'!$V38+S37</f>
        <v>245319352.4742147</v>
      </c>
      <c r="AN37" s="234">
        <f>'FIM interventions data'!X38*'Assumptions data'!$S38+T37</f>
        <v>9360112.2096227873</v>
      </c>
      <c r="AO37" s="234">
        <f>'FIM interventions data'!Y38*'Assumptions data'!$T38+U37</f>
        <v>11257712.033012396</v>
      </c>
      <c r="AP37" s="234">
        <f>'FIM interventions data'!Z38*'Assumptions data'!$U37+V37</f>
        <v>7797836.62921427</v>
      </c>
      <c r="AQ37" s="235">
        <f>'FIM interventions data'!AA38*'Assumptions data'!$V38+W37</f>
        <v>8392945.6010283586</v>
      </c>
      <c r="AR37" s="118">
        <f>'FIM interventions data'!AB38*'Assumptions data'!$L38*'Local food sourcing'!$I37</f>
        <v>7245475.9959913809</v>
      </c>
      <c r="AS37" s="118">
        <f>'FIM interventions data'!AC38*'Assumptions data'!$N38*'Local food sourcing'!$I37</f>
        <v>16728173.260211224</v>
      </c>
      <c r="AT37" s="118">
        <f>'FIM interventions data'!AD38*'Assumptions data'!$R37*'Local food sourcing'!$K37</f>
        <v>1035524.0389610918</v>
      </c>
      <c r="AU37" s="178">
        <f>'FIM interventions data'!AE38*'Assumptions data'!$P37*'Local food sourcing'!$L37</f>
        <v>12471330.565733209</v>
      </c>
      <c r="AV37" s="234">
        <f>'FIM interventions data'!AF38*'Assumptions data'!$L38*'Local food sourcing'!$I37</f>
        <v>4649724.1678618519</v>
      </c>
      <c r="AW37" s="234">
        <f>'FIM interventions data'!AG38*'Assumptions data'!$N38*'Local food sourcing'!$I37</f>
        <v>10735166.5418832</v>
      </c>
      <c r="AX37" s="234">
        <f>'FIM interventions data'!AH38*'Assumptions data'!$R37*'Local food sourcing'!$K37</f>
        <v>664538.96928554995</v>
      </c>
      <c r="AY37" s="235">
        <f>'FIM interventions data'!AI38*'Assumptions data'!$P37*'Local food sourcing'!$L37</f>
        <v>8003373.0246247994</v>
      </c>
      <c r="AZ37" s="234">
        <f>'FIM interventions data'!AJ38*'Assumptions data'!$L38*'Local food sourcing'!$I37</f>
        <v>1324459.8582346814</v>
      </c>
      <c r="BA37" s="234">
        <f>'FIM interventions data'!AK38*'Assumptions data'!$N38*'Local food sourcing'!$I37</f>
        <v>3057879.7027279409</v>
      </c>
      <c r="BB37" s="234">
        <f>'FIM interventions data'!AL38*'Assumptions data'!$R37*'Local food sourcing'!$K37</f>
        <v>189291.91437523381</v>
      </c>
      <c r="BC37" s="235">
        <f>'FIM interventions data'!AM38*'Assumptions data'!$P37*'Local food sourcing'!$L37</f>
        <v>2279736.5862819022</v>
      </c>
      <c r="BD37" s="234">
        <f>'FIM interventions data'!AN38*'Assumptions data'!$L38*'Local food sourcing'!$I37</f>
        <v>1618251.7419202665</v>
      </c>
      <c r="BE37" s="234">
        <f>'FIM interventions data'!AO38*'Assumptions data'!$N38*'Local food sourcing'!$I37</f>
        <v>3736179.0353674162</v>
      </c>
      <c r="BF37" s="234">
        <f>'FIM interventions data'!AP38*'Assumptions data'!$R37*'Local food sourcing'!$K37</f>
        <v>231280.67511040167</v>
      </c>
      <c r="BG37" s="235">
        <f>'FIM interventions data'!AQ38*'Assumptions data'!$P37*'Local food sourcing'!$L37</f>
        <v>2785428.0965428567</v>
      </c>
      <c r="BH37" s="234">
        <f>'FIM interventions data'!AR38*'Assumptions data'!$L38*'Local food sourcing'!$I37</f>
        <v>92667.017999572126</v>
      </c>
      <c r="BI37" s="234">
        <f>'FIM interventions data'!AS38*'Assumptions data'!$N38*'Local food sourcing'!$I37</f>
        <v>213947.28703284473</v>
      </c>
      <c r="BJ37" s="234">
        <f>'FIM interventions data'!AT38*'Assumptions data'!$R37*'Local food sourcing'!$K37</f>
        <v>13243.978009241515</v>
      </c>
      <c r="BK37" s="235">
        <f>'FIM interventions data'!AU38*'Assumptions data'!$P37*'Local food sourcing'!$L37</f>
        <v>159503.80825949914</v>
      </c>
      <c r="BL37" s="118">
        <f>'FIM interventions data'!AB38*'Assumptions data'!$S38*'Assumptions data'!$W38+AR37</f>
        <v>134811137.75041464</v>
      </c>
      <c r="BM37" s="118">
        <f>'FIM interventions data'!AC38*'Assumptions data'!$T38*'Assumptions data'!$X38+AS37</f>
        <v>115006191.16395219</v>
      </c>
      <c r="BN37" s="234">
        <f>'FIM interventions data'!AD38*'Assumptions data'!$U37*'Assumptions data'!$Z38+AT37</f>
        <v>8370485.9816021584</v>
      </c>
      <c r="BO37" s="235">
        <f>'FIM interventions data'!AE38*'Assumptions data'!$V38*'Assumptions data'!$Y38+AU37</f>
        <v>85740397.639415815</v>
      </c>
      <c r="BP37" s="234">
        <f>'FIM interventions data'!AF38*'Assumptions data'!$S38*'Assumptions data'!$W38+AV37</f>
        <v>86513930.298279583</v>
      </c>
      <c r="BQ37" s="234">
        <f>'FIM interventions data'!AG38*'Assumptions data'!$T38*'Assumptions data'!$X38+AW37</f>
        <v>73804269.975447014</v>
      </c>
      <c r="BR37" s="234">
        <f>'FIM interventions data'!AH38*'Assumptions data'!$U37*'Assumptions data'!$Z38+AX37</f>
        <v>5371690.0017248625</v>
      </c>
      <c r="BS37" s="235">
        <f>'FIM interventions data'!AI38*'Assumptions data'!$V38*'Assumptions data'!$Y38+AY37</f>
        <v>55023189.544295505</v>
      </c>
      <c r="BT37" s="234">
        <f>'FIM interventions data'!AJ38*'Assumptions data'!$S38*'Assumptions data'!$W38+AZ37</f>
        <v>24643231.237279043</v>
      </c>
      <c r="BU37" s="234">
        <f>'FIM interventions data'!AK38*'Assumptions data'!$T38*'Assumptions data'!$X38+BA37</f>
        <v>21022922.956254594</v>
      </c>
      <c r="BV37" s="234">
        <f>'FIM interventions data'!AL38*'Assumptions data'!$U37*'Assumptions data'!$Z38+BB37</f>
        <v>1530109.6411998067</v>
      </c>
      <c r="BW37" s="235">
        <f>'FIM interventions data'!AM38*'Assumptions data'!$V38*'Assumptions data'!$Y38+BC37</f>
        <v>15673189.030688077</v>
      </c>
      <c r="BX37" s="234">
        <f>'FIM interventions data'!AN38*'Assumptions data'!$S38*'Assumptions data'!$W38+BD37</f>
        <v>30109596.473103959</v>
      </c>
      <c r="BY37" s="234">
        <f>'FIM interventions data'!AO38*'Assumptions data'!$T38*'Assumptions data'!$X38+BE37</f>
        <v>25686230.868150987</v>
      </c>
      <c r="BZ37" s="234">
        <f>'FIM interventions data'!AP38*'Assumptions data'!$U37*'Assumptions data'!$Z38+BF37</f>
        <v>1869518.7904757468</v>
      </c>
      <c r="CA37" s="235">
        <f>'FIM interventions data'!AQ38*'Assumptions data'!$V38*'Assumptions data'!$Y38+BG37</f>
        <v>19149818.163732141</v>
      </c>
      <c r="CB37" s="234">
        <f>'FIM interventions data'!AR38*'Assumptions data'!$S38*'Assumptions data'!$W38+BH37</f>
        <v>1724185.7036545388</v>
      </c>
      <c r="CC37" s="234">
        <f>'FIM interventions data'!AS38*'Assumptions data'!$T38*'Assumptions data'!$X38+BI37</f>
        <v>1470887.5983508078</v>
      </c>
      <c r="CD37" s="234">
        <f>'FIM interventions data'!AT38*'Assumptions data'!$U37*'Assumptions data'!$Z38+BJ37</f>
        <v>107055.48890803558</v>
      </c>
      <c r="CE37" s="234">
        <f>'FIM interventions data'!AU38*'Assumptions data'!$V38*'Assumptions data'!$Y38+BK37</f>
        <v>1096588.6817840566</v>
      </c>
      <c r="CF37" s="247">
        <f>'FIM interventions data'!AV38*'Assumptions data'!$L38*'Local food sourcing'!$I37</f>
        <v>6199482.9537418829</v>
      </c>
      <c r="CG37" s="234">
        <f>'FIM interventions data'!AW38*'Assumptions data'!$N38*'Local food sourcing'!$I37</f>
        <v>14313210.758174686</v>
      </c>
      <c r="CH37" s="234">
        <f>'FIM interventions data'!AX38*'Assumptions data'!$R37*'Local food sourcing'!$K37</f>
        <v>886030.62535587605</v>
      </c>
      <c r="CI37" s="234">
        <f>'FIM interventions data'!AY38*'Assumptions data'!$P37*'Local food sourcing'!$L37</f>
        <v>10670907.100585073</v>
      </c>
      <c r="CJ37" s="247">
        <f>'FIM interventions data'!AV38*'Assumptions data'!$S38*'Assumptions data'!$W38+CF37</f>
        <v>115349129.70805991</v>
      </c>
      <c r="CK37" s="234">
        <f>'FIM interventions data'!AW38*'Assumptions data'!$T38*'Assumptions data'!$X38+CG37</f>
        <v>98403323.962450966</v>
      </c>
      <c r="CL37" s="234">
        <f>'FIM interventions data'!AX38*'Assumptions data'!$U37*'Assumptions data'!$Z38+CH37</f>
        <v>7162080.8882933324</v>
      </c>
      <c r="CM37" s="235">
        <f>'FIM interventions data'!AY38*'Assumptions data'!$V38*'Assumptions data'!$Y38+CI37</f>
        <v>73362486.31652239</v>
      </c>
    </row>
    <row r="38" spans="1:91">
      <c r="A38" s="9">
        <v>37</v>
      </c>
      <c r="B38" s="1" t="s">
        <v>493</v>
      </c>
      <c r="C38" s="1" t="s">
        <v>494</v>
      </c>
      <c r="D38" s="78">
        <f>'FIM interventions data'!E39*'Assumptions data'!L39*'Local food sourcing'!I38</f>
        <v>58278748.072874688</v>
      </c>
      <c r="E38" s="118">
        <f>'FIM interventions data'!G39*'Assumptions data'!N39*'Local food sourcing'!I38</f>
        <v>134552511.89716434</v>
      </c>
      <c r="F38" s="118">
        <f>'FIM interventions data'!I39*'Assumptions data'!$R38*'Local food sourcing'!$K38</f>
        <v>8329203.5779854553</v>
      </c>
      <c r="G38" s="178">
        <f>'FIM interventions data'!K39*'Assumptions data'!$P38*'Local food sourcing'!$L38</f>
        <v>100312737.57252429</v>
      </c>
      <c r="H38" s="247">
        <f>'FIM interventions data'!L39*'Assumptions data'!$L39*'Local food sourcing'!$I38</f>
        <v>14627758.603478359</v>
      </c>
      <c r="I38" s="234">
        <f>'FIM interventions data'!M39*'Assumptions data'!$N39*'Local food sourcing'!$I38</f>
        <v>33772202.193880893</v>
      </c>
      <c r="J38" s="234">
        <f>'FIM interventions data'!N39*'Assumptions data'!$R38*'Local food sourcing'!$K38</f>
        <v>2090600.4903476585</v>
      </c>
      <c r="K38" s="235">
        <f>'FIM interventions data'!O39*'Assumptions data'!$P38*'Local food sourcing'!$L38</f>
        <v>25178140.550138619</v>
      </c>
      <c r="L38" s="247">
        <f>'FIM interventions data'!P39*'Assumptions data'!$L39*'Local food sourcing'!$I38</f>
        <v>9650894.6243935339</v>
      </c>
      <c r="M38" s="234">
        <f>'FIM interventions data'!Q39*'Assumptions data'!$N39*'Local food sourcing'!$I38</f>
        <v>22281743.46063878</v>
      </c>
      <c r="N38" s="234">
        <f>'FIM interventions data'!R39*'Assumptions data'!$R38*'Local food sourcing'!$K38</f>
        <v>1379306.6717174957</v>
      </c>
      <c r="O38" s="235">
        <f>'FIM interventions data'!S39*'Assumptions data'!$P38*'Local food sourcing'!$L38</f>
        <v>16611675.641801765</v>
      </c>
      <c r="P38" s="247">
        <f>'FIM interventions data'!T39*'Assumptions data'!$L39*'Local food sourcing'!$I38</f>
        <v>33354612.427122269</v>
      </c>
      <c r="Q38" s="234">
        <f>'FIM interventions data'!U39*'Assumptions data'!$N39*'Local food sourcing'!$I38</f>
        <v>77008292.625190228</v>
      </c>
      <c r="R38" s="234">
        <f>'FIM interventions data'!V39*'Assumptions data'!$R38*'Local food sourcing'!$K38</f>
        <v>4767044.0144477384</v>
      </c>
      <c r="S38" s="235">
        <f>'FIM interventions data'!W39*'Assumptions data'!$P38*'Local food sourcing'!$L38</f>
        <v>57411879.868306391</v>
      </c>
      <c r="T38" s="247">
        <f>'FIM interventions data'!X39*'Assumptions data'!$L39*'Local food sourcing'!$I38</f>
        <v>516874.08081042749</v>
      </c>
      <c r="U38" s="234">
        <f>'FIM interventions data'!Y39*'Assumptions data'!$N39*'Local food sourcing'!$I38</f>
        <v>1193345.9143737303</v>
      </c>
      <c r="V38" s="234">
        <f>'FIM interventions data'!Z39*'Assumptions data'!$R38*'Local food sourcing'!$K38</f>
        <v>73871.687117759968</v>
      </c>
      <c r="W38" s="235">
        <f>'FIM interventions data'!AA39*'Assumptions data'!$P38*'Local food sourcing'!$L38</f>
        <v>889673.43570149178</v>
      </c>
      <c r="X38" s="118">
        <f>'FIM interventions data'!E39*'Assumptions data'!S39+D38</f>
        <v>605516192.47716808</v>
      </c>
      <c r="Y38" s="118">
        <f>'FIM interventions data'!G39*'Assumptions data'!T39+E38</f>
        <v>766949317.81383693</v>
      </c>
      <c r="Z38" s="118">
        <f>'FIM interventions data'!I39*'Assumptions data'!U38+F38</f>
        <v>480317406.33049458</v>
      </c>
      <c r="AA38" s="178">
        <f>'FIM interventions data'!K39*'Assumptions data'!$V39+G38</f>
        <v>571782604.16338849</v>
      </c>
      <c r="AB38" s="234">
        <f>'FIM interventions data'!L39*'Assumptions data'!$S39+H38</f>
        <v>151982411.89014018</v>
      </c>
      <c r="AC38" s="234">
        <f>'FIM interventions data'!M39*'Assumptions data'!$T39+I38</f>
        <v>192501552.50512111</v>
      </c>
      <c r="AD38" s="234">
        <f>'FIM interventions data'!N39*'Assumptions data'!$U38+J38</f>
        <v>120557961.61004829</v>
      </c>
      <c r="AE38" s="235">
        <f>'FIM interventions data'!O39*'Assumptions data'!$V39+K38</f>
        <v>143515401.13579014</v>
      </c>
      <c r="AF38" s="234">
        <f>'FIM interventions data'!P39*'Assumptions data'!$S39+L38</f>
        <v>100272795.14744882</v>
      </c>
      <c r="AG38" s="234">
        <f>'FIM interventions data'!Q39*'Assumptions data'!$T39+M38</f>
        <v>127005937.72564106</v>
      </c>
      <c r="AH38" s="234">
        <f>'FIM interventions data'!R39*'Assumptions data'!$U38+N38</f>
        <v>79540018.069042251</v>
      </c>
      <c r="AI38" s="235">
        <f>'FIM interventions data'!S39*'Assumptions data'!$V39+O38</f>
        <v>94686551.158270061</v>
      </c>
      <c r="AJ38" s="234">
        <f>'FIM interventions data'!T39*'Assumptions data'!$S39+P38</f>
        <v>346554423.11780041</v>
      </c>
      <c r="AK38" s="234">
        <f>'FIM interventions data'!U39*'Assumptions data'!$T39+Q38</f>
        <v>438947267.96358442</v>
      </c>
      <c r="AL38" s="234">
        <f>'FIM interventions data'!V39*'Assumptions data'!$U38+R38</f>
        <v>274899538.16648626</v>
      </c>
      <c r="AM38" s="235">
        <f>'FIM interventions data'!W39*'Assumptions data'!$V39+S38</f>
        <v>327247715.24934644</v>
      </c>
      <c r="AN38" s="234">
        <f>'FIM interventions data'!X39*'Assumptions data'!$S39+T38</f>
        <v>5370321.6996203419</v>
      </c>
      <c r="AO38" s="234">
        <f>'FIM interventions data'!Y39*'Assumptions data'!$T39+U38</f>
        <v>6802071.7119302638</v>
      </c>
      <c r="AP38" s="234">
        <f>'FIM interventions data'!Z39*'Assumptions data'!$U38+V38</f>
        <v>4259933.9571241578</v>
      </c>
      <c r="AQ38" s="235">
        <f>'FIM interventions data'!AA39*'Assumptions data'!$V39+W38</f>
        <v>5071138.583498504</v>
      </c>
      <c r="AR38" s="118">
        <f>'FIM interventions data'!AB39*'Assumptions data'!$L39*'Local food sourcing'!$I38</f>
        <v>15199459.416124247</v>
      </c>
      <c r="AS38" s="118">
        <f>'FIM interventions data'!AC39*'Assumptions data'!$N39*'Local food sourcing'!$I38</f>
        <v>35092130.691640742</v>
      </c>
      <c r="AT38" s="118">
        <f>'FIM interventions data'!AD39*'Assumptions data'!$R38*'Local food sourcing'!$K38</f>
        <v>2172308.0185923101</v>
      </c>
      <c r="AU38" s="178">
        <f>'FIM interventions data'!AE39*'Assumptions data'!$P38*'Local food sourcing'!$L38</f>
        <v>26162184.914256286</v>
      </c>
      <c r="AV38" s="234">
        <f>'FIM interventions data'!AF39*'Assumptions data'!$L39*'Local food sourcing'!$I38</f>
        <v>12429474.861044139</v>
      </c>
      <c r="AW38" s="234">
        <f>'FIM interventions data'!AG39*'Assumptions data'!$N39*'Local food sourcing'!$I38</f>
        <v>28696859.823153235</v>
      </c>
      <c r="AX38" s="234">
        <f>'FIM interventions data'!AH39*'Assumptions data'!$R38*'Local food sourcing'!$K38</f>
        <v>1776421.5929215387</v>
      </c>
      <c r="AY38" s="235">
        <f>'FIM interventions data'!AI39*'Assumptions data'!$P38*'Local food sourcing'!$L38</f>
        <v>21394327.96910983</v>
      </c>
      <c r="AZ38" s="234">
        <f>'FIM interventions data'!AJ39*'Assumptions data'!$L39*'Local food sourcing'!$I38</f>
        <v>3398081.6322387527</v>
      </c>
      <c r="BA38" s="234">
        <f>'FIM interventions data'!AK39*'Assumptions data'!$N39*'Local food sourcing'!$I38</f>
        <v>7845405.6473143343</v>
      </c>
      <c r="BB38" s="234">
        <f>'FIM interventions data'!AL39*'Assumptions data'!$R38*'Local food sourcing'!$K38</f>
        <v>485654.11278460867</v>
      </c>
      <c r="BC38" s="235">
        <f>'FIM interventions data'!AM39*'Assumptions data'!$P38*'Local food sourcing'!$L38</f>
        <v>5848973.807716989</v>
      </c>
      <c r="BD38" s="234">
        <f>'FIM interventions data'!AN39*'Assumptions data'!$L39*'Local food sourcing'!$I38</f>
        <v>3324579.6686105626</v>
      </c>
      <c r="BE38" s="234">
        <f>'FIM interventions data'!AO39*'Assumptions data'!$N39*'Local food sourcing'!$I38</f>
        <v>7675706.1571471775</v>
      </c>
      <c r="BF38" s="234">
        <f>'FIM interventions data'!AP39*'Assumptions data'!$R38*'Local food sourcing'!$K38</f>
        <v>475149.20595861878</v>
      </c>
      <c r="BG38" s="235">
        <f>'FIM interventions data'!AQ39*'Assumptions data'!$P38*'Local food sourcing'!$L38</f>
        <v>5722457.9947952703</v>
      </c>
      <c r="BH38" s="234">
        <f>'FIM interventions data'!AR39*'Assumptions data'!$L39*'Local food sourcing'!$I38</f>
        <v>171824.44379084292</v>
      </c>
      <c r="BI38" s="234">
        <f>'FIM interventions data'!AS39*'Assumptions data'!$N39*'Local food sourcing'!$I38</f>
        <v>396703.9664009487</v>
      </c>
      <c r="BJ38" s="234">
        <f>'FIM interventions data'!AT39*'Assumptions data'!$R38*'Local food sourcing'!$K38</f>
        <v>24557.163963413455</v>
      </c>
      <c r="BK38" s="235">
        <f>'FIM interventions data'!AU39*'Assumptions data'!$P38*'Local food sourcing'!$L38</f>
        <v>295754.12836567429</v>
      </c>
      <c r="BL38" s="118">
        <f>'FIM interventions data'!AB39*'Assumptions data'!$S39*'Assumptions data'!$W39+AR38</f>
        <v>122241652.35417926</v>
      </c>
      <c r="BM38" s="118">
        <f>'FIM interventions data'!AC39*'Assumptions data'!$T39*'Assumptions data'!$X39+AS38</f>
        <v>117558637.81699648</v>
      </c>
      <c r="BN38" s="234">
        <f>'FIM interventions data'!AD39*'Assumptions data'!$U38*'Assumptions data'!$Z39+AT38</f>
        <v>8327180.7379371887</v>
      </c>
      <c r="BO38" s="235">
        <f>'FIM interventions data'!AE39*'Assumptions data'!$V39*'Assumptions data'!$Y39+AU38</f>
        <v>87643319.462758571</v>
      </c>
      <c r="BP38" s="234">
        <f>'FIM interventions data'!AF39*'Assumptions data'!$S39*'Assumptions data'!$W39+AV38</f>
        <v>99964051.569947481</v>
      </c>
      <c r="BQ38" s="234">
        <f>'FIM interventions data'!AG39*'Assumptions data'!$T39*'Assumptions data'!$X39+AW38</f>
        <v>96134480.407563359</v>
      </c>
      <c r="BR38" s="234">
        <f>'FIM interventions data'!AH39*'Assumptions data'!$U38*'Assumptions data'!$Z39+AX38</f>
        <v>6809616.1061992329</v>
      </c>
      <c r="BS38" s="235">
        <f>'FIM interventions data'!AI39*'Assumptions data'!$V39*'Assumptions data'!$Y39+AY38</f>
        <v>71670998.696517929</v>
      </c>
      <c r="BT38" s="234">
        <f>'FIM interventions data'!AJ39*'Assumptions data'!$S39*'Assumptions data'!$W39+AZ38</f>
        <v>27329071.527280167</v>
      </c>
      <c r="BU38" s="234">
        <f>'FIM interventions data'!AK39*'Assumptions data'!$T39*'Assumptions data'!$X39+BA38</f>
        <v>26282108.918503024</v>
      </c>
      <c r="BV38" s="234">
        <f>'FIM interventions data'!AL39*'Assumptions data'!$U38*'Assumptions data'!$Z39+BB38</f>
        <v>1861674.0990076666</v>
      </c>
      <c r="BW38" s="235">
        <f>'FIM interventions data'!AM39*'Assumptions data'!$V39*'Assumptions data'!$Y39+BC38</f>
        <v>19594062.255851913</v>
      </c>
      <c r="BX38" s="234">
        <f>'FIM interventions data'!AN39*'Assumptions data'!$S39*'Assumptions data'!$W39+BD38</f>
        <v>26737931.984800451</v>
      </c>
      <c r="BY38" s="234">
        <f>'FIM interventions data'!AO39*'Assumptions data'!$T39*'Assumptions data'!$X39+BE38</f>
        <v>25713615.626443047</v>
      </c>
      <c r="BZ38" s="234">
        <f>'FIM interventions data'!AP39*'Assumptions data'!$U38*'Assumptions data'!$Z39+BF38</f>
        <v>1821405.2895080389</v>
      </c>
      <c r="CA38" s="235">
        <f>'FIM interventions data'!AQ39*'Assumptions data'!$V39*'Assumptions data'!$Y39+BG38</f>
        <v>19170234.282564156</v>
      </c>
      <c r="CB38" s="234">
        <f>'FIM interventions data'!AR39*'Assumptions data'!$S39*'Assumptions data'!$W39+BH38</f>
        <v>1381898.0891878544</v>
      </c>
      <c r="CC38" s="234">
        <f>'FIM interventions data'!AS39*'Assumptions data'!$T39*'Assumptions data'!$X39+BI38</f>
        <v>1328958.2874431782</v>
      </c>
      <c r="CD38" s="234">
        <f>'FIM interventions data'!AT39*'Assumptions data'!$U38*'Assumptions data'!$Z39+BJ38</f>
        <v>94135.795193084923</v>
      </c>
      <c r="CE38" s="234">
        <f>'FIM interventions data'!AU39*'Assumptions data'!$V39*'Assumptions data'!$Y39+BK38</f>
        <v>990776.330025009</v>
      </c>
      <c r="CF38" s="247">
        <f>'FIM interventions data'!AV39*'Assumptions data'!$L39*'Local food sourcing'!$I38</f>
        <v>13438726.101071127</v>
      </c>
      <c r="CG38" s="234">
        <f>'FIM interventions data'!AW39*'Assumptions data'!$N39*'Local food sourcing'!$I38</f>
        <v>31026993.773717009</v>
      </c>
      <c r="CH38" s="234">
        <f>'FIM interventions data'!AX39*'Assumptions data'!$R38*'Local food sourcing'!$K38</f>
        <v>1920663.8650617604</v>
      </c>
      <c r="CI38" s="234">
        <f>'FIM interventions data'!AY39*'Assumptions data'!$P38*'Local food sourcing'!$L38</f>
        <v>23131509.3282388</v>
      </c>
      <c r="CJ38" s="247">
        <f>'FIM interventions data'!AV39*'Assumptions data'!$S39*'Assumptions data'!$W39+CF38</f>
        <v>108080954.66786453</v>
      </c>
      <c r="CK38" s="234">
        <f>'FIM interventions data'!AW39*'Assumptions data'!$T39*'Assumptions data'!$X39+CG38</f>
        <v>103940429.14195198</v>
      </c>
      <c r="CL38" s="234">
        <f>'FIM interventions data'!AX39*'Assumptions data'!$U38*'Assumptions data'!$Z39+CH38</f>
        <v>7362544.8160700817</v>
      </c>
      <c r="CM38" s="235">
        <f>'FIM interventions data'!AY39*'Assumptions data'!$V39*'Assumptions data'!$Y39+CI38</f>
        <v>77490556.249599993</v>
      </c>
    </row>
    <row r="39" spans="1:91">
      <c r="A39" s="9">
        <v>38</v>
      </c>
      <c r="B39" s="1" t="s">
        <v>498</v>
      </c>
      <c r="C39" s="1" t="s">
        <v>499</v>
      </c>
      <c r="D39" s="78">
        <f>'FIM interventions data'!E40*'Assumptions data'!L40*'Local food sourcing'!I39</f>
        <v>134155921.64492902</v>
      </c>
      <c r="E39" s="118">
        <f>'FIM interventions data'!G40*'Assumptions data'!N40*'Local food sourcing'!I39</f>
        <v>309735827.21153277</v>
      </c>
      <c r="F39" s="118">
        <f>'FIM interventions data'!I40*'Assumptions data'!$R39*'Local food sourcing'!$K39</f>
        <v>19173575.608995765</v>
      </c>
      <c r="G39" s="178">
        <f>'FIM interventions data'!K40*'Assumptions data'!$P39*'Local food sourcing'!$L39</f>
        <v>230916898.64270765</v>
      </c>
      <c r="H39" s="247">
        <f>'FIM interventions data'!L40*'Assumptions data'!$L40*'Local food sourcing'!$I39</f>
        <v>35643678.170172639</v>
      </c>
      <c r="I39" s="234">
        <f>'FIM interventions data'!M40*'Assumptions data'!$N40*'Local food sourcing'!$I39</f>
        <v>82293230.202092826</v>
      </c>
      <c r="J39" s="234">
        <f>'FIM interventions data'!N40*'Assumptions data'!$R39*'Local food sourcing'!$K39</f>
        <v>5094197.4830400599</v>
      </c>
      <c r="K39" s="235">
        <f>'FIM interventions data'!O40*'Assumptions data'!$P39*'Local food sourcing'!$L39</f>
        <v>61351951.657112397</v>
      </c>
      <c r="L39" s="247">
        <f>'FIM interventions data'!P40*'Assumptions data'!$L40*'Local food sourcing'!$I39</f>
        <v>26765957.51966285</v>
      </c>
      <c r="M39" s="234">
        <f>'FIM interventions data'!Q40*'Assumptions data'!$N40*'Local food sourcing'!$I39</f>
        <v>61796571.420855261</v>
      </c>
      <c r="N39" s="234">
        <f>'FIM interventions data'!R40*'Assumptions data'!$R39*'Local food sourcing'!$K39</f>
        <v>3825392.900722716</v>
      </c>
      <c r="O39" s="235">
        <f>'FIM interventions data'!S40*'Assumptions data'!$P39*'Local food sourcing'!$L39</f>
        <v>46071107.587792635</v>
      </c>
      <c r="P39" s="247">
        <f>'FIM interventions data'!T40*'Assumptions data'!$L40*'Local food sourcing'!$I39</f>
        <v>76605882.417153835</v>
      </c>
      <c r="Q39" s="234">
        <f>'FIM interventions data'!U40*'Assumptions data'!$N40*'Local food sourcing'!$I39</f>
        <v>176865740.01963511</v>
      </c>
      <c r="R39" s="234">
        <f>'FIM interventions data'!V40*'Assumptions data'!$R39*'Local food sourcing'!$K39</f>
        <v>10948519.160463449</v>
      </c>
      <c r="S39" s="235">
        <f>'FIM interventions data'!W40*'Assumptions data'!$P39*'Local food sourcing'!$L39</f>
        <v>131858456.70216629</v>
      </c>
      <c r="T39" s="247">
        <f>'FIM interventions data'!X40*'Assumptions data'!$L40*'Local food sourcing'!$I39</f>
        <v>1227162.4312060021</v>
      </c>
      <c r="U39" s="234">
        <f>'FIM interventions data'!Y40*'Assumptions data'!$N40*'Local food sourcing'!$I39</f>
        <v>2833241.8434611377</v>
      </c>
      <c r="V39" s="234">
        <f>'FIM interventions data'!Z40*'Assumptions data'!$R39*'Local food sourcing'!$K39</f>
        <v>175386.15791796267</v>
      </c>
      <c r="W39" s="235">
        <f>'FIM interventions data'!AA40*'Assumptions data'!$P39*'Local food sourcing'!$L39</f>
        <v>2112262.651327</v>
      </c>
      <c r="X39" s="118">
        <f>'FIM interventions data'!E40*'Assumptions data'!S40+D39</f>
        <v>1393880025.8908124</v>
      </c>
      <c r="Y39" s="118">
        <f>'FIM interventions data'!G40*'Assumptions data'!T40+E39</f>
        <v>1765494215.105737</v>
      </c>
      <c r="Z39" s="118">
        <f>'FIM interventions data'!I40*'Assumptions data'!U39+F39</f>
        <v>1105676193.4520891</v>
      </c>
      <c r="AA39" s="178">
        <f>'FIM interventions data'!K40*'Assumptions data'!$V40+G39</f>
        <v>1316226322.2634337</v>
      </c>
      <c r="AB39" s="234">
        <f>'FIM interventions data'!L40*'Assumptions data'!$S40+H39</f>
        <v>370337816.18809372</v>
      </c>
      <c r="AC39" s="234">
        <f>'FIM interventions data'!M40*'Assumptions data'!$T40+I39</f>
        <v>469071412.1519292</v>
      </c>
      <c r="AD39" s="234">
        <f>'FIM interventions data'!N40*'Assumptions data'!$U39+J39</f>
        <v>293765388.1886434</v>
      </c>
      <c r="AE39" s="235">
        <f>'FIM interventions data'!O40*'Assumptions data'!$V40+K39</f>
        <v>349706124.44554073</v>
      </c>
      <c r="AF39" s="234">
        <f>'FIM interventions data'!P40*'Assumptions data'!$S40+L39</f>
        <v>278098298.62929702</v>
      </c>
      <c r="AG39" s="234">
        <f>'FIM interventions data'!Q40*'Assumptions data'!$T40+M39</f>
        <v>352240457.09887505</v>
      </c>
      <c r="AH39" s="234">
        <f>'FIM interventions data'!R40*'Assumptions data'!$U39+N39</f>
        <v>220597657.27500996</v>
      </c>
      <c r="AI39" s="235">
        <f>'FIM interventions data'!S40*'Assumptions data'!$V40+O39</f>
        <v>262605313.25041807</v>
      </c>
      <c r="AJ39" s="234">
        <f>'FIM interventions data'!T40*'Assumptions data'!$S40+P39</f>
        <v>795935118.31422842</v>
      </c>
      <c r="AK39" s="234">
        <f>'FIM interventions data'!U40*'Assumptions data'!$T40+Q39</f>
        <v>1008134718.1119202</v>
      </c>
      <c r="AL39" s="234">
        <f>'FIM interventions data'!V40*'Assumptions data'!$U39+R39</f>
        <v>631364604.92005885</v>
      </c>
      <c r="AM39" s="235">
        <f>'FIM interventions data'!W40*'Assumptions data'!$V40+S39</f>
        <v>751593203.20234799</v>
      </c>
      <c r="AN39" s="234">
        <f>'FIM interventions data'!X40*'Assumptions data'!$S40+T39</f>
        <v>12750217.660230365</v>
      </c>
      <c r="AO39" s="234">
        <f>'FIM interventions data'!Y40*'Assumptions data'!$T40+U39</f>
        <v>16149478.507728485</v>
      </c>
      <c r="AP39" s="234">
        <f>'FIM interventions data'!Z40*'Assumptions data'!$U39+V39</f>
        <v>10113935.106602514</v>
      </c>
      <c r="AQ39" s="235">
        <f>'FIM interventions data'!AA40*'Assumptions data'!$V40+W39</f>
        <v>12039897.112563901</v>
      </c>
      <c r="AR39" s="118">
        <f>'FIM interventions data'!AB40*'Assumptions data'!$L40*'Local food sourcing'!$I39</f>
        <v>33447662.648271225</v>
      </c>
      <c r="AS39" s="118">
        <f>'FIM interventions data'!AC40*'Assumptions data'!$N40*'Local food sourcing'!$I39</f>
        <v>77223124.642043501</v>
      </c>
      <c r="AT39" s="118">
        <f>'FIM interventions data'!AD40*'Assumptions data'!$R39*'Local food sourcing'!$K39</f>
        <v>4780342.7598833311</v>
      </c>
      <c r="AU39" s="178">
        <f>'FIM interventions data'!AE40*'Assumptions data'!$P39*'Local food sourcing'!$L39</f>
        <v>57572043.267896034</v>
      </c>
      <c r="AV39" s="234">
        <f>'FIM interventions data'!AF40*'Assumptions data'!$L40*'Local food sourcing'!$I39</f>
        <v>26491667.177004699</v>
      </c>
      <c r="AW39" s="234">
        <f>'FIM interventions data'!AG40*'Assumptions data'!$N40*'Local food sourcing'!$I39</f>
        <v>61163296.757033743</v>
      </c>
      <c r="AX39" s="234">
        <f>'FIM interventions data'!AH40*'Assumptions data'!$R39*'Local food sourcing'!$K39</f>
        <v>3786191.3018719945</v>
      </c>
      <c r="AY39" s="235">
        <f>'FIM interventions data'!AI40*'Assumptions data'!$P39*'Local food sourcing'!$L39</f>
        <v>45598983.253080793</v>
      </c>
      <c r="AZ39" s="234">
        <f>'FIM interventions data'!AJ40*'Assumptions data'!$L40*'Local food sourcing'!$I39</f>
        <v>7435485.4484793115</v>
      </c>
      <c r="BA39" s="234">
        <f>'FIM interventions data'!AK40*'Assumptions data'!$N40*'Local food sourcing'!$I39</f>
        <v>17166862.31860498</v>
      </c>
      <c r="BB39" s="234">
        <f>'FIM interventions data'!AL40*'Assumptions data'!$R39*'Local food sourcing'!$K39</f>
        <v>1062680.2058975284</v>
      </c>
      <c r="BC39" s="235">
        <f>'FIM interventions data'!AM40*'Assumptions data'!$P39*'Local food sourcing'!$L39</f>
        <v>12798385.778379278</v>
      </c>
      <c r="BD39" s="234">
        <f>'FIM interventions data'!AN40*'Assumptions data'!$L40*'Local food sourcing'!$I39</f>
        <v>8639766.1777159553</v>
      </c>
      <c r="BE39" s="234">
        <f>'FIM interventions data'!AO40*'Assumptions data'!$N40*'Local food sourcing'!$I39</f>
        <v>19947275.462441172</v>
      </c>
      <c r="BF39" s="234">
        <f>'FIM interventions data'!AP40*'Assumptions data'!$R39*'Local food sourcing'!$K39</f>
        <v>1234796.1090448282</v>
      </c>
      <c r="BG39" s="235">
        <f>'FIM interventions data'!AQ40*'Assumptions data'!$P39*'Local food sourcing'!$L39</f>
        <v>14871263.126473701</v>
      </c>
      <c r="BH39" s="234">
        <f>'FIM interventions data'!AR40*'Assumptions data'!$L40*'Local food sourcing'!$I39</f>
        <v>179349.42146504787</v>
      </c>
      <c r="BI39" s="234">
        <f>'FIM interventions data'!AS40*'Assumptions data'!$N40*'Local food sourcing'!$I39</f>
        <v>414077.44612580951</v>
      </c>
      <c r="BJ39" s="234">
        <f>'FIM interventions data'!AT40*'Assumptions data'!$R39*'Local food sourcing'!$K39</f>
        <v>25632.634405741315</v>
      </c>
      <c r="BK39" s="235">
        <f>'FIM interventions data'!AU40*'Assumptions data'!$P39*'Local food sourcing'!$L39</f>
        <v>308706.5533170086</v>
      </c>
      <c r="BL39" s="118">
        <f>'FIM interventions data'!AB40*'Assumptions data'!$S40*'Assumptions data'!$W40+AR39</f>
        <v>269002826.84872133</v>
      </c>
      <c r="BM39" s="118">
        <f>'FIM interventions data'!AC40*'Assumptions data'!$T40*'Assumptions data'!$X40+AS39</f>
        <v>258697467.55084574</v>
      </c>
      <c r="BN39" s="234">
        <f>'FIM interventions data'!AD40*'Assumptions data'!$U39*'Assumptions data'!$Z40+AT39</f>
        <v>18324647.246219434</v>
      </c>
      <c r="BO39" s="235">
        <f>'FIM interventions data'!AE40*'Assumptions data'!$V40*'Assumptions data'!$Y40+AU39</f>
        <v>192866344.94745174</v>
      </c>
      <c r="BP39" s="234">
        <f>'FIM interventions data'!AF40*'Assumptions data'!$S40*'Assumptions data'!$W40+AV39</f>
        <v>213059233.27106029</v>
      </c>
      <c r="BQ39" s="234">
        <f>'FIM interventions data'!AG40*'Assumptions data'!$T40*'Assumptions data'!$X40+AW39</f>
        <v>204897044.13606307</v>
      </c>
      <c r="BR39" s="234">
        <f>'FIM interventions data'!AH40*'Assumptions data'!$U39*'Assumptions data'!$Z40+AX39</f>
        <v>14513733.323842647</v>
      </c>
      <c r="BS39" s="235">
        <f>'FIM interventions data'!AI40*'Assumptions data'!$V40*'Assumptions data'!$Y40+AY39</f>
        <v>152756593.89782068</v>
      </c>
      <c r="BT39" s="234">
        <f>'FIM interventions data'!AJ40*'Assumptions data'!$S40*'Assumptions data'!$W40+AZ39</f>
        <v>59799891.71939487</v>
      </c>
      <c r="BU39" s="234">
        <f>'FIM interventions data'!AK40*'Assumptions data'!$T40*'Assumptions data'!$X40+BA39</f>
        <v>57508988.767326683</v>
      </c>
      <c r="BV39" s="234">
        <f>'FIM interventions data'!AL40*'Assumptions data'!$U39*'Assumptions data'!$Z40+BB39</f>
        <v>4073607.455940526</v>
      </c>
      <c r="BW39" s="235">
        <f>'FIM interventions data'!AM40*'Assumptions data'!$V40*'Assumptions data'!$Y40+BC39</f>
        <v>42874592.357570589</v>
      </c>
      <c r="BX39" s="234">
        <f>'FIM interventions data'!AN40*'Assumptions data'!$S40*'Assumptions data'!$W40+BD39</f>
        <v>69485319.484280571</v>
      </c>
      <c r="BY39" s="234">
        <f>'FIM interventions data'!AO40*'Assumptions data'!$T40*'Assumptions data'!$X40+BE39</f>
        <v>66823372.79917793</v>
      </c>
      <c r="BZ39" s="234">
        <f>'FIM interventions data'!AP40*'Assumptions data'!$U39*'Assumptions data'!$Z40+BF39</f>
        <v>4733385.084671841</v>
      </c>
      <c r="CA39" s="235">
        <f>'FIM interventions data'!AQ40*'Assumptions data'!$V40*'Assumptions data'!$Y40+BG39</f>
        <v>49818731.473686904</v>
      </c>
      <c r="CB39" s="234">
        <f>'FIM interventions data'!AR40*'Assumptions data'!$S40*'Assumptions data'!$W40+BH39</f>
        <v>1442417.7221326476</v>
      </c>
      <c r="CC39" s="234">
        <f>'FIM interventions data'!AS40*'Assumptions data'!$T40*'Assumptions data'!$X40+BI39</f>
        <v>1387159.4445214621</v>
      </c>
      <c r="CD39" s="234">
        <f>'FIM interventions data'!AT40*'Assumptions data'!$U39*'Assumptions data'!$Z40+BJ39</f>
        <v>98258.431888675026</v>
      </c>
      <c r="CE39" s="234">
        <f>'FIM interventions data'!AU40*'Assumptions data'!$V40*'Assumptions data'!$Y40+BK39</f>
        <v>1034166.9536119788</v>
      </c>
      <c r="CF39" s="247">
        <f>'FIM interventions data'!AV40*'Assumptions data'!$L40*'Local food sourcing'!$I39</f>
        <v>34711165.911255509</v>
      </c>
      <c r="CG39" s="234">
        <f>'FIM interventions data'!AW40*'Assumptions data'!$N40*'Local food sourcing'!$I39</f>
        <v>80140269.286472246</v>
      </c>
      <c r="CH39" s="234">
        <f>'FIM interventions data'!AX40*'Assumptions data'!$R39*'Local food sourcing'!$K39</f>
        <v>4960922.752536661</v>
      </c>
      <c r="CI39" s="234">
        <f>'FIM interventions data'!AY40*'Assumptions data'!$P39*'Local food sourcing'!$L39</f>
        <v>59746857.851820894</v>
      </c>
      <c r="CJ39" s="247">
        <f>'FIM interventions data'!AV40*'Assumptions data'!$S40*'Assumptions data'!$W40+CF39</f>
        <v>279164551.84127247</v>
      </c>
      <c r="CK39" s="234">
        <f>'FIM interventions data'!AW40*'Assumptions data'!$T40*'Assumptions data'!$X40+CG39</f>
        <v>268469902.10968202</v>
      </c>
      <c r="CL39" s="234">
        <f>'FIM interventions data'!AX40*'Assumptions data'!$U39*'Assumptions data'!$Z40+CH39</f>
        <v>19016870.551390532</v>
      </c>
      <c r="CM39" s="235">
        <f>'FIM interventions data'!AY40*'Assumptions data'!$V40*'Assumptions data'!$Y40+CI39</f>
        <v>200151973.80360001</v>
      </c>
    </row>
    <row r="40" spans="1:91">
      <c r="A40" s="9">
        <v>39</v>
      </c>
      <c r="B40" s="1" t="s">
        <v>503</v>
      </c>
      <c r="C40" s="1" t="s">
        <v>504</v>
      </c>
      <c r="D40" s="78">
        <f>'FIM interventions data'!E41*'Assumptions data'!L41*'Local food sourcing'!I40</f>
        <v>5367416.5525740311</v>
      </c>
      <c r="E40" s="118">
        <f>'FIM interventions data'!G41*'Assumptions data'!N41*'Local food sourcing'!I40</f>
        <v>12392156.719704747</v>
      </c>
      <c r="F40" s="118">
        <f>'FIM interventions data'!I41*'Assumptions data'!$R40*'Local food sourcing'!$K40</f>
        <v>767111.62529323658</v>
      </c>
      <c r="G40" s="178">
        <f>'FIM interventions data'!K41*'Assumptions data'!$P40*'Local food sourcing'!$L40</f>
        <v>9238706.4905291721</v>
      </c>
      <c r="H40" s="247">
        <f>'FIM interventions data'!L41*'Assumptions data'!$L41*'Local food sourcing'!$I40</f>
        <v>1169193.8818973701</v>
      </c>
      <c r="I40" s="234">
        <f>'FIM interventions data'!M41*'Assumptions data'!$N41*'Local food sourcing'!$I40</f>
        <v>2699405.5106909522</v>
      </c>
      <c r="J40" s="234">
        <f>'FIM interventions data'!N41*'Assumptions data'!$R40*'Local food sourcing'!$K40</f>
        <v>167101.28797346202</v>
      </c>
      <c r="K40" s="235">
        <f>'FIM interventions data'!O41*'Assumptions data'!$P40*'Local food sourcing'!$L40</f>
        <v>2012483.8457324561</v>
      </c>
      <c r="L40" s="247">
        <f>'FIM interventions data'!P41*'Assumptions data'!$L41*'Local food sourcing'!$I40</f>
        <v>909677.70905847242</v>
      </c>
      <c r="M40" s="234">
        <f>'FIM interventions data'!Q41*'Assumptions data'!$N41*'Local food sourcing'!$I40</f>
        <v>2100241.0796062551</v>
      </c>
      <c r="N40" s="234">
        <f>'FIM interventions data'!R41*'Assumptions data'!$R40*'Local food sourcing'!$K40</f>
        <v>130011.21471636473</v>
      </c>
      <c r="O40" s="235">
        <f>'FIM interventions data'!S41*'Assumptions data'!$P40*'Local food sourcing'!$L40</f>
        <v>1565789.6629874615</v>
      </c>
      <c r="P40" s="247">
        <f>'FIM interventions data'!T41*'Assumptions data'!$L41*'Local food sourcing'!$I40</f>
        <v>3439661.9398065954</v>
      </c>
      <c r="Q40" s="234">
        <f>'FIM interventions data'!U41*'Assumptions data'!$N41*'Local food sourcing'!$I40</f>
        <v>7941405.2185768131</v>
      </c>
      <c r="R40" s="234">
        <f>'FIM interventions data'!V41*'Assumptions data'!$R40*'Local food sourcing'!$K40</f>
        <v>491596.77384065487</v>
      </c>
      <c r="S40" s="235">
        <f>'FIM interventions data'!W41*'Assumptions data'!$P40*'Local food sourcing'!$L40</f>
        <v>5920544.2277957145</v>
      </c>
      <c r="T40" s="247">
        <f>'FIM interventions data'!X41*'Assumptions data'!$L41*'Local food sourcing'!$I40</f>
        <v>16464.754915085494</v>
      </c>
      <c r="U40" s="234">
        <f>'FIM interventions data'!Y41*'Assumptions data'!$N41*'Local food sourcing'!$I40</f>
        <v>38013.413205543133</v>
      </c>
      <c r="V40" s="234">
        <f>'FIM interventions data'!Z41*'Assumptions data'!$R40*'Local food sourcing'!$K40</f>
        <v>2353.1441577622604</v>
      </c>
      <c r="W40" s="235">
        <f>'FIM interventions data'!AA41*'Assumptions data'!$P40*'Local food sourcing'!$L40</f>
        <v>28340.084397963146</v>
      </c>
      <c r="X40" s="118">
        <f>'FIM interventions data'!E41*'Assumptions data'!S41+D40</f>
        <v>131367520.12424943</v>
      </c>
      <c r="Y40" s="118">
        <f>'FIM interventions data'!G41*'Assumptions data'!T41+E40</f>
        <v>157999998.17623556</v>
      </c>
      <c r="Z40" s="118">
        <f>'FIM interventions data'!I41*'Assumptions data'!U40+F40</f>
        <v>109441258.54183508</v>
      </c>
      <c r="AA40" s="178">
        <f>'FIM interventions data'!K41*'Assumptions data'!$V41+G40</f>
        <v>117793507.75424695</v>
      </c>
      <c r="AB40" s="234">
        <f>'FIM interventions data'!L41*'Assumptions data'!$S41+H40</f>
        <v>28616020.259438138</v>
      </c>
      <c r="AC40" s="234">
        <f>'FIM interventions data'!M41*'Assumptions data'!$T41+I40</f>
        <v>34417420.261309646</v>
      </c>
      <c r="AD40" s="234">
        <f>'FIM interventions data'!N41*'Assumptions data'!$U40+J40</f>
        <v>23839783.750880584</v>
      </c>
      <c r="AE40" s="235">
        <f>'FIM interventions data'!O41*'Assumptions data'!$V41+K40</f>
        <v>25659169.033088818</v>
      </c>
      <c r="AF40" s="234">
        <f>'FIM interventions data'!P41*'Assumptions data'!$S41+L40</f>
        <v>22264361.929206107</v>
      </c>
      <c r="AG40" s="234">
        <f>'FIM interventions data'!Q41*'Assumptions data'!$T41+M40</f>
        <v>26778073.764979757</v>
      </c>
      <c r="AH40" s="234">
        <f>'FIM interventions data'!R41*'Assumptions data'!$U40+N40</f>
        <v>18548266.632868033</v>
      </c>
      <c r="AI40" s="235">
        <f>'FIM interventions data'!S41*'Assumptions data'!$V41+O40</f>
        <v>19963818.203090139</v>
      </c>
      <c r="AJ40" s="234">
        <f>'FIM interventions data'!T41*'Assumptions data'!$S41+P40</f>
        <v>84185725.976766422</v>
      </c>
      <c r="AK40" s="234">
        <f>'FIM interventions data'!U41*'Assumptions data'!$T41+Q40</f>
        <v>101252916.53685437</v>
      </c>
      <c r="AL40" s="234">
        <f>'FIM interventions data'!V41*'Assumptions data'!$U40+R40</f>
        <v>70134473.067933425</v>
      </c>
      <c r="AM40" s="235">
        <f>'FIM interventions data'!W41*'Assumptions data'!$V41+S40</f>
        <v>75486938.904395372</v>
      </c>
      <c r="AN40" s="234">
        <f>'FIM interventions data'!X41*'Assumptions data'!$S41+T40</f>
        <v>402974.87654671748</v>
      </c>
      <c r="AO40" s="234">
        <f>'FIM interventions data'!Y41*'Assumptions data'!$T41+U40</f>
        <v>484671.01837067498</v>
      </c>
      <c r="AP40" s="234">
        <f>'FIM interventions data'!Z41*'Assumptions data'!$U40+V40</f>
        <v>335715.23317408247</v>
      </c>
      <c r="AQ40" s="235">
        <f>'FIM interventions data'!AA41*'Assumptions data'!$V41+W40</f>
        <v>361336.07607403008</v>
      </c>
      <c r="AR40" s="118">
        <f>'FIM interventions data'!AB41*'Assumptions data'!$L41*'Local food sourcing'!$I40</f>
        <v>1187650.4785186897</v>
      </c>
      <c r="AS40" s="118">
        <f>'FIM interventions data'!AC41*'Assumptions data'!$N41*'Local food sourcing'!$I40</f>
        <v>2742017.6380716898</v>
      </c>
      <c r="AT40" s="118">
        <f>'FIM interventions data'!AD41*'Assumptions data'!$R40*'Local food sourcing'!$K40</f>
        <v>169739.10631546722</v>
      </c>
      <c r="AU40" s="178">
        <f>'FIM interventions data'!AE41*'Assumptions data'!$P40*'Local food sourcing'!$L40</f>
        <v>2044252.4027893317</v>
      </c>
      <c r="AV40" s="234">
        <f>'FIM interventions data'!AF41*'Assumptions data'!$L41*'Local food sourcing'!$I40</f>
        <v>951748.62905437953</v>
      </c>
      <c r="AW40" s="234">
        <f>'FIM interventions data'!AG41*'Assumptions data'!$N41*'Local food sourcing'!$I40</f>
        <v>2197373.3645378989</v>
      </c>
      <c r="AX40" s="234">
        <f>'FIM interventions data'!AH41*'Assumptions data'!$R40*'Local food sourcing'!$K40</f>
        <v>136023.99414190886</v>
      </c>
      <c r="AY40" s="235">
        <f>'FIM interventions data'!AI41*'Assumptions data'!$P40*'Local food sourcing'!$L40</f>
        <v>1638204.5534327209</v>
      </c>
      <c r="AZ40" s="234">
        <f>'FIM interventions data'!AJ41*'Assumptions data'!$L41*'Local food sourcing'!$I40</f>
        <v>197762.20512945997</v>
      </c>
      <c r="BA40" s="234">
        <f>'FIM interventions data'!AK41*'Assumptions data'!$N41*'Local food sourcing'!$I40</f>
        <v>456588.41925048514</v>
      </c>
      <c r="BB40" s="234">
        <f>'FIM interventions data'!AL41*'Assumptions data'!$R40*'Local food sourcing'!$K40</f>
        <v>28264.190996259</v>
      </c>
      <c r="BC40" s="235">
        <f>'FIM interventions data'!AM41*'Assumptions data'!$P40*'Local food sourcing'!$L40</f>
        <v>340399.69698917877</v>
      </c>
      <c r="BD40" s="234">
        <f>'FIM interventions data'!AN41*'Assumptions data'!$L41*'Local food sourcing'!$I40</f>
        <v>303207.42544588901</v>
      </c>
      <c r="BE40" s="234">
        <f>'FIM interventions data'!AO41*'Assumptions data'!$N41*'Local food sourcing'!$I40</f>
        <v>700037.69931024453</v>
      </c>
      <c r="BF40" s="234">
        <f>'FIM interventions data'!AP41*'Assumptions data'!$R40*'Local food sourcing'!$K40</f>
        <v>43334.430755747766</v>
      </c>
      <c r="BG40" s="235">
        <f>'FIM interventions data'!AQ41*'Assumptions data'!$P40*'Local food sourcing'!$L40</f>
        <v>521898.08299864345</v>
      </c>
      <c r="BH40" s="234">
        <f>'FIM interventions data'!AR41*'Assumptions data'!$L41*'Local food sourcing'!$I40</f>
        <v>7293.3140544107928</v>
      </c>
      <c r="BI40" s="234">
        <f>'FIM interventions data'!AS41*'Assumptions data'!$N41*'Local food sourcing'!$I40</f>
        <v>16838.620569693001</v>
      </c>
      <c r="BJ40" s="234">
        <f>'FIM interventions data'!AT41*'Assumptions data'!$R40*'Local food sourcing'!$K40</f>
        <v>1042.3610582953538</v>
      </c>
      <c r="BK40" s="235">
        <f>'FIM interventions data'!AU41*'Assumptions data'!$P40*'Local food sourcing'!$L40</f>
        <v>12553.672186974021</v>
      </c>
      <c r="BL40" s="118">
        <f>'FIM interventions data'!AB41*'Assumptions data'!$S41*'Assumptions data'!$W41+AR40</f>
        <v>22097721.715938374</v>
      </c>
      <c r="BM40" s="118">
        <f>'FIM interventions data'!AC41*'Assumptions data'!$T41*'Assumptions data'!$X41+AS40</f>
        <v>18851371.261742868</v>
      </c>
      <c r="BN40" s="234">
        <f>'FIM interventions data'!AD41*'Assumptions data'!$U40*'Assumptions data'!$Z41+AT40</f>
        <v>1372057.7760500268</v>
      </c>
      <c r="BO40" s="235">
        <f>'FIM interventions data'!AE41*'Assumptions data'!$V41*'Assumptions data'!$Y41+AU40</f>
        <v>14054235.269176656</v>
      </c>
      <c r="BP40" s="234">
        <f>'FIM interventions data'!AF41*'Assumptions data'!$S41*'Assumptions data'!$W41+AV40</f>
        <v>17708472.929343048</v>
      </c>
      <c r="BQ40" s="234">
        <f>'FIM interventions data'!AG41*'Assumptions data'!$T41*'Assumptions data'!$X41+AW40</f>
        <v>15106941.881198056</v>
      </c>
      <c r="BR40" s="234">
        <f>'FIM interventions data'!AH41*'Assumptions data'!$U40*'Assumptions data'!$Z41+AX40</f>
        <v>1099527.28598043</v>
      </c>
      <c r="BS40" s="235">
        <f>'FIM interventions data'!AI41*'Assumptions data'!$V41*'Assumptions data'!$Y41+AY40</f>
        <v>11262656.304849958</v>
      </c>
      <c r="BT40" s="234">
        <f>'FIM interventions data'!AJ41*'Assumptions data'!$S41*'Assumptions data'!$W41+AZ40</f>
        <v>3679613.0291900146</v>
      </c>
      <c r="BU40" s="234">
        <f>'FIM interventions data'!AK41*'Assumptions data'!$T41*'Assumptions data'!$X41+BA40</f>
        <v>3139045.3823470855</v>
      </c>
      <c r="BV40" s="234">
        <f>'FIM interventions data'!AL41*'Assumptions data'!$U40*'Assumptions data'!$Z41+BB40</f>
        <v>228468.87721976027</v>
      </c>
      <c r="BW40" s="235">
        <f>'FIM interventions data'!AM41*'Assumptions data'!$V41*'Assumptions data'!$Y41+BC40</f>
        <v>2340247.9168006042</v>
      </c>
      <c r="BX40" s="234">
        <f>'FIM interventions data'!AN41*'Assumptions data'!$S41*'Assumptions data'!$W41+BD40</f>
        <v>5641553.159702573</v>
      </c>
      <c r="BY40" s="234">
        <f>'FIM interventions data'!AO41*'Assumptions data'!$T41*'Assumptions data'!$X41+BE40</f>
        <v>4812759.1827579318</v>
      </c>
      <c r="BZ40" s="234">
        <f>'FIM interventions data'!AP41*'Assumptions data'!$U40*'Assumptions data'!$Z41+BF40</f>
        <v>350286.64860896108</v>
      </c>
      <c r="CA40" s="235">
        <f>'FIM interventions data'!AQ41*'Assumptions data'!$V41*'Assumptions data'!$Y41+BG40</f>
        <v>3588049.3206156744</v>
      </c>
      <c r="CB40" s="234">
        <f>'FIM interventions data'!AR41*'Assumptions data'!$S41*'Assumptions data'!$W41+BH40</f>
        <v>135701.22462488079</v>
      </c>
      <c r="CC40" s="234">
        <f>'FIM interventions data'!AS41*'Assumptions data'!$T41*'Assumptions data'!$X41+BI40</f>
        <v>115765.51641663938</v>
      </c>
      <c r="CD40" s="234">
        <f>'FIM interventions data'!AT41*'Assumptions data'!$U40*'Assumptions data'!$Z41+BJ40</f>
        <v>8425.7518878874434</v>
      </c>
      <c r="CE40" s="234">
        <f>'FIM interventions data'!AU41*'Assumptions data'!$V41*'Assumptions data'!$Y41+BK40</f>
        <v>86306.496285446396</v>
      </c>
      <c r="CF40" s="247">
        <f>'FIM interventions data'!AV41*'Assumptions data'!$L41*'Local food sourcing'!$I40</f>
        <v>1060561.7521474983</v>
      </c>
      <c r="CG40" s="234">
        <f>'FIM interventions data'!AW41*'Assumptions data'!$N41*'Local food sourcing'!$I40</f>
        <v>2448598.3740601786</v>
      </c>
      <c r="CH40" s="234">
        <f>'FIM interventions data'!AX41*'Assumptions data'!$R40*'Local food sourcing'!$K40</f>
        <v>151575.57484960803</v>
      </c>
      <c r="CI40" s="234">
        <f>'FIM interventions data'!AY41*'Assumptions data'!$P40*'Local food sourcing'!$L40</f>
        <v>1825499.9676656714</v>
      </c>
      <c r="CJ40" s="247">
        <f>'FIM interventions data'!AV41*'Assumptions data'!$S41*'Assumptions data'!$W41+CF40</f>
        <v>19733077.100894395</v>
      </c>
      <c r="CK40" s="234">
        <f>'FIM interventions data'!AW41*'Assumptions data'!$T41*'Assumptions data'!$X41+CG40</f>
        <v>16834113.82166373</v>
      </c>
      <c r="CL40" s="234">
        <f>'FIM interventions data'!AX41*'Assumptions data'!$U40*'Assumptions data'!$Z41+CH40</f>
        <v>1225235.8967009983</v>
      </c>
      <c r="CM40" s="235">
        <f>'FIM interventions data'!AY41*'Assumptions data'!$V41*'Assumptions data'!$Y41+CI40</f>
        <v>12550312.27770149</v>
      </c>
    </row>
    <row r="41" spans="1:91">
      <c r="A41" s="9">
        <v>40</v>
      </c>
      <c r="B41" s="1" t="s">
        <v>508</v>
      </c>
      <c r="C41" s="1" t="s">
        <v>509</v>
      </c>
      <c r="D41" s="78">
        <f>'FIM interventions data'!E42*'Assumptions data'!L42*'Local food sourcing'!I41</f>
        <v>25176021.682930462</v>
      </c>
      <c r="E41" s="118">
        <f>'FIM interventions data'!G42*'Assumptions data'!N42*'Local food sourcing'!I41</f>
        <v>58125767.437211782</v>
      </c>
      <c r="F41" s="118">
        <f>'FIM interventions data'!I42*'Assumptions data'!$R41*'Local food sourcing'!$K41</f>
        <v>3598159.1371641867</v>
      </c>
      <c r="G41" s="178">
        <f>'FIM interventions data'!K42*'Assumptions data'!$P41*'Local food sourcing'!$L41</f>
        <v>43334418.458028696</v>
      </c>
      <c r="H41" s="247">
        <f>'FIM interventions data'!L42*'Assumptions data'!$L42*'Local food sourcing'!$I41</f>
        <v>5834041.6986372266</v>
      </c>
      <c r="I41" s="234">
        <f>'FIM interventions data'!M42*'Assumptions data'!$N42*'Local food sourcing'!$I41</f>
        <v>13469489.15379674</v>
      </c>
      <c r="J41" s="234">
        <f>'FIM interventions data'!N42*'Assumptions data'!$R41*'Local food sourcing'!$K41</f>
        <v>833801.73042911768</v>
      </c>
      <c r="K41" s="235">
        <f>'FIM interventions data'!O42*'Assumptions data'!$P41*'Local food sourcing'!$L41</f>
        <v>10041888.56580722</v>
      </c>
      <c r="L41" s="247">
        <f>'FIM interventions data'!P42*'Assumptions data'!$L42*'Local food sourcing'!$I41</f>
        <v>5557849.307816687</v>
      </c>
      <c r="M41" s="234">
        <f>'FIM interventions data'!Q42*'Assumptions data'!$N42*'Local food sourcing'!$I41</f>
        <v>12831823.088882009</v>
      </c>
      <c r="N41" s="234">
        <f>'FIM interventions data'!R42*'Assumptions data'!$R41*'Local food sourcing'!$K41</f>
        <v>794328.29069499404</v>
      </c>
      <c r="O41" s="235">
        <f>'FIM interventions data'!S42*'Assumptions data'!$P41*'Local food sourcing'!$L41</f>
        <v>9566490.3162555229</v>
      </c>
      <c r="P41" s="247">
        <f>'FIM interventions data'!T42*'Assumptions data'!$L42*'Local food sourcing'!$I41</f>
        <v>14131809.20247261</v>
      </c>
      <c r="Q41" s="234">
        <f>'FIM interventions data'!U42*'Assumptions data'!$N42*'Local food sourcing'!$I41</f>
        <v>32627166.655441154</v>
      </c>
      <c r="R41" s="234">
        <f>'FIM interventions data'!V42*'Assumptions data'!$R41*'Local food sourcing'!$K41</f>
        <v>2019719.3602281266</v>
      </c>
      <c r="S41" s="235">
        <f>'FIM interventions data'!W42*'Assumptions data'!$P41*'Local food sourcing'!$L41</f>
        <v>24324483.878411036</v>
      </c>
      <c r="T41" s="247">
        <f>'FIM interventions data'!X42*'Assumptions data'!$L42*'Local food sourcing'!$I41</f>
        <v>634938.90575414698</v>
      </c>
      <c r="U41" s="234">
        <f>'FIM interventions data'!Y42*'Assumptions data'!$N42*'Local food sourcing'!$I41</f>
        <v>1465931.0210924244</v>
      </c>
      <c r="V41" s="234">
        <f>'FIM interventions data'!Z42*'Assumptions data'!$R41*'Local food sourcing'!$K41</f>
        <v>90745.521832359154</v>
      </c>
      <c r="W41" s="235">
        <f>'FIM interventions data'!AA42*'Assumptions data'!$P41*'Local food sourcing'!$L41</f>
        <v>1092893.4119836821</v>
      </c>
      <c r="X41" s="118">
        <f>'FIM interventions data'!E42*'Assumptions data'!S42+D41</f>
        <v>616183130.68972301</v>
      </c>
      <c r="Y41" s="118">
        <f>'FIM interventions data'!G42*'Assumptions data'!T42+E41</f>
        <v>741103534.82445025</v>
      </c>
      <c r="Z41" s="118">
        <f>'FIM interventions data'!I42*'Assumptions data'!U41+F41</f>
        <v>513337370.23542398</v>
      </c>
      <c r="AA41" s="178">
        <f>'FIM interventions data'!K42*'Assumptions data'!$V42+G41</f>
        <v>552513835.33986592</v>
      </c>
      <c r="AB41" s="234">
        <f>'FIM interventions data'!L42*'Assumptions data'!$S42+H41</f>
        <v>142788170.57414612</v>
      </c>
      <c r="AC41" s="234">
        <f>'FIM interventions data'!M42*'Assumptions data'!$T42+I41</f>
        <v>171735986.71090844</v>
      </c>
      <c r="AD41" s="234">
        <f>'FIM interventions data'!N42*'Assumptions data'!$U41+J41</f>
        <v>118955713.54122078</v>
      </c>
      <c r="AE41" s="235">
        <f>'FIM interventions data'!O42*'Assumptions data'!$V42+K41</f>
        <v>128034079.21404205</v>
      </c>
      <c r="AF41" s="234">
        <f>'FIM interventions data'!P42*'Assumptions data'!$S42+L41</f>
        <v>136028361.80881342</v>
      </c>
      <c r="AG41" s="234">
        <f>'FIM interventions data'!Q42*'Assumptions data'!$T42+M41</f>
        <v>163605744.38324562</v>
      </c>
      <c r="AH41" s="234">
        <f>'FIM interventions data'!R42*'Assumptions data'!$U41+N41</f>
        <v>113324169.47248581</v>
      </c>
      <c r="AI41" s="235">
        <f>'FIM interventions data'!S42*'Assumptions data'!$V42+O41</f>
        <v>121972751.53225793</v>
      </c>
      <c r="AJ41" s="234">
        <f>'FIM interventions data'!T42*'Assumptions data'!$S42+P41</f>
        <v>345876030.23051715</v>
      </c>
      <c r="AK41" s="234">
        <f>'FIM interventions data'!U42*'Assumptions data'!$T42+Q41</f>
        <v>415996374.85687476</v>
      </c>
      <c r="AL41" s="234">
        <f>'FIM interventions data'!V42*'Assumptions data'!$U41+R41</f>
        <v>288146628.72587943</v>
      </c>
      <c r="AM41" s="235">
        <f>'FIM interventions data'!W42*'Assumptions data'!$V42+S41</f>
        <v>310137169.44974077</v>
      </c>
      <c r="AN41" s="234">
        <f>'FIM interventions data'!X42*'Assumptions data'!$S42+T41</f>
        <v>15540129.718332747</v>
      </c>
      <c r="AO41" s="234">
        <f>'FIM interventions data'!Y42*'Assumptions data'!$T42+U41</f>
        <v>18690620.518928412</v>
      </c>
      <c r="AP41" s="234">
        <f>'FIM interventions data'!Z42*'Assumptions data'!$U41+V41</f>
        <v>12946361.114749907</v>
      </c>
      <c r="AQ41" s="235">
        <f>'FIM interventions data'!AA42*'Assumptions data'!$V42+W41</f>
        <v>13934391.002791947</v>
      </c>
      <c r="AR41" s="118">
        <f>'FIM interventions data'!AB42*'Assumptions data'!$L42*'Local food sourcing'!$I41</f>
        <v>7333961.1204979345</v>
      </c>
      <c r="AS41" s="118">
        <f>'FIM interventions data'!AC42*'Assumptions data'!$N42*'Local food sourcing'!$I41</f>
        <v>16932465.496430896</v>
      </c>
      <c r="AT41" s="118">
        <f>'FIM interventions data'!AD42*'Assumptions data'!$R41*'Local food sourcing'!$K41</f>
        <v>1048170.3404004582</v>
      </c>
      <c r="AU41" s="178">
        <f>'FIM interventions data'!AE42*'Assumptions data'!$P41*'Local food sourcing'!$L41</f>
        <v>12623636.258068927</v>
      </c>
      <c r="AV41" s="234">
        <f>'FIM interventions data'!AF42*'Assumptions data'!$L42*'Local food sourcing'!$I41</f>
        <v>4903952.9648890942</v>
      </c>
      <c r="AW41" s="234">
        <f>'FIM interventions data'!AG42*'Assumptions data'!$N42*'Local food sourcing'!$I41</f>
        <v>11322123.612303374</v>
      </c>
      <c r="AX41" s="234">
        <f>'FIM interventions data'!AH42*'Assumptions data'!$R41*'Local food sourcing'!$K41</f>
        <v>700873.37034678063</v>
      </c>
      <c r="AY41" s="235">
        <f>'FIM interventions data'!AI42*'Assumptions data'!$P41*'Local food sourcing'!$L41</f>
        <v>8440966.2716122419</v>
      </c>
      <c r="AZ41" s="234">
        <f>'FIM interventions data'!AJ42*'Assumptions data'!$L42*'Local food sourcing'!$I41</f>
        <v>1723972.3339393223</v>
      </c>
      <c r="BA41" s="234">
        <f>'FIM interventions data'!AK42*'Assumptions data'!$N42*'Local food sourcing'!$I41</f>
        <v>3980264.0867077718</v>
      </c>
      <c r="BB41" s="234">
        <f>'FIM interventions data'!AL42*'Assumptions data'!$R41*'Local food sourcing'!$K41</f>
        <v>246390.27101679886</v>
      </c>
      <c r="BC41" s="235">
        <f>'FIM interventions data'!AM42*'Assumptions data'!$P41*'Local food sourcing'!$L41</f>
        <v>2967400.4681860884</v>
      </c>
      <c r="BD41" s="234">
        <f>'FIM interventions data'!AN42*'Assumptions data'!$L42*'Local food sourcing'!$I41</f>
        <v>2181230.5930289445</v>
      </c>
      <c r="BE41" s="234">
        <f>'FIM interventions data'!AO42*'Assumptions data'!$N42*'Local food sourcing'!$I41</f>
        <v>5035970.4870803179</v>
      </c>
      <c r="BF41" s="234">
        <f>'FIM interventions data'!AP42*'Assumptions data'!$R41*'Local food sourcing'!$K41</f>
        <v>311741.65987831348</v>
      </c>
      <c r="BG41" s="235">
        <f>'FIM interventions data'!AQ42*'Assumptions data'!$P41*'Local food sourcing'!$L41</f>
        <v>3754459.7181474962</v>
      </c>
      <c r="BH41" s="234">
        <f>'FIM interventions data'!AR42*'Assumptions data'!$L42*'Local food sourcing'!$I41</f>
        <v>113584.16653461324</v>
      </c>
      <c r="BI41" s="234">
        <f>'FIM interventions data'!AS42*'Assumptions data'!$N42*'Local food sourcing'!$I41</f>
        <v>262240.27496039146</v>
      </c>
      <c r="BJ41" s="234">
        <f>'FIM interventions data'!AT42*'Assumptions data'!$R41*'Local food sourcing'!$K41</f>
        <v>16233.458637779728</v>
      </c>
      <c r="BK41" s="235">
        <f>'FIM interventions data'!AU42*'Assumptions data'!$P41*'Local food sourcing'!$L41</f>
        <v>195507.60897837058</v>
      </c>
      <c r="BL41" s="118">
        <f>'FIM interventions data'!AB42*'Assumptions data'!$S42*'Assumptions data'!$W42+AR41</f>
        <v>136457514.09826472</v>
      </c>
      <c r="BM41" s="118">
        <f>'FIM interventions data'!AC42*'Assumptions data'!$T42*'Assumptions data'!$X42+AS41</f>
        <v>116410700.28796241</v>
      </c>
      <c r="BN41" s="234">
        <f>'FIM interventions data'!AD42*'Assumptions data'!$U41*'Assumptions data'!$Z42+AT41</f>
        <v>8472710.25157037</v>
      </c>
      <c r="BO41" s="235">
        <f>'FIM interventions data'!AE42*'Assumptions data'!$V42*'Assumptions data'!$Y42+AU41</f>
        <v>86787499.274223864</v>
      </c>
      <c r="BP41" s="234">
        <f>'FIM interventions data'!AF42*'Assumptions data'!$S42*'Assumptions data'!$W42+AV41</f>
        <v>91244174.852967724</v>
      </c>
      <c r="BQ41" s="234">
        <f>'FIM interventions data'!AG42*'Assumptions data'!$T42*'Assumptions data'!$X42+AW41</f>
        <v>77839599.834585696</v>
      </c>
      <c r="BR41" s="234">
        <f>'FIM interventions data'!AH42*'Assumptions data'!$U41*'Assumptions data'!$Z42+AX41</f>
        <v>5665393.0769698098</v>
      </c>
      <c r="BS41" s="235">
        <f>'FIM interventions data'!AI42*'Assumptions data'!$V42*'Assumptions data'!$Y42+AY41</f>
        <v>58031643.117334165</v>
      </c>
      <c r="BT41" s="234">
        <f>'FIM interventions data'!AJ42*'Assumptions data'!$S42*'Assumptions data'!$W42+AZ41</f>
        <v>32076660.238358513</v>
      </c>
      <c r="BU41" s="234">
        <f>'FIM interventions data'!AK42*'Assumptions data'!$T42*'Assumptions data'!$X42+BA41</f>
        <v>27364315.596115932</v>
      </c>
      <c r="BV41" s="234">
        <f>'FIM interventions data'!AL42*'Assumptions data'!$U41*'Assumptions data'!$Z42+BB41</f>
        <v>1991654.6907191239</v>
      </c>
      <c r="BW41" s="235">
        <f>'FIM interventions data'!AM42*'Assumptions data'!$V42*'Assumptions data'!$Y42+BC41</f>
        <v>20400878.218779359</v>
      </c>
      <c r="BX41" s="234">
        <f>'FIM interventions data'!AN42*'Assumptions data'!$S42*'Assumptions data'!$W42+BD41</f>
        <v>40584521.721544795</v>
      </c>
      <c r="BY41" s="234">
        <f>'FIM interventions data'!AO42*'Assumptions data'!$T42*'Assumptions data'!$X42+BE41</f>
        <v>34622297.098677188</v>
      </c>
      <c r="BZ41" s="234">
        <f>'FIM interventions data'!AP42*'Assumptions data'!$U41*'Assumptions data'!$Z42+BF41</f>
        <v>2519911.7506830338</v>
      </c>
      <c r="CA41" s="235">
        <f>'FIM interventions data'!AQ42*'Assumptions data'!$V42*'Assumptions data'!$Y42+BG41</f>
        <v>25811910.56226404</v>
      </c>
      <c r="CB41" s="234">
        <f>'FIM interventions data'!AR42*'Assumptions data'!$S42*'Assumptions data'!$W42+BH41</f>
        <v>2113375.3985846476</v>
      </c>
      <c r="CC41" s="234">
        <f>'FIM interventions data'!AS42*'Assumptions data'!$T42*'Assumptions data'!$X42+BI41</f>
        <v>1802901.8903526915</v>
      </c>
      <c r="CD41" s="234">
        <f>'FIM interventions data'!AT42*'Assumptions data'!$U41*'Assumptions data'!$Z42+BJ41</f>
        <v>131220.45732205283</v>
      </c>
      <c r="CE41" s="234">
        <f>'FIM interventions data'!AU42*'Assumptions data'!$V42*'Assumptions data'!$Y42+BK41</f>
        <v>1344114.811726298</v>
      </c>
      <c r="CF41" s="247">
        <f>'FIM interventions data'!AV42*'Assumptions data'!$L42*'Local food sourcing'!$I41</f>
        <v>7755138.5690465383</v>
      </c>
      <c r="CG41" s="234">
        <f>'FIM interventions data'!AW42*'Assumptions data'!$N42*'Local food sourcing'!$I41</f>
        <v>17904869.426346987</v>
      </c>
      <c r="CH41" s="234">
        <f>'FIM interventions data'!AX42*'Assumptions data'!$R41*'Local food sourcing'!$K41</f>
        <v>1108365.0567837122</v>
      </c>
      <c r="CI41" s="234">
        <f>'FIM interventions data'!AY42*'Assumptions data'!$P41*'Local food sourcing'!$L41</f>
        <v>13348591.138961194</v>
      </c>
      <c r="CJ41" s="247">
        <f>'FIM interventions data'!AV42*'Assumptions data'!$S42*'Assumptions data'!$W42+CF41</f>
        <v>144294047.00032213</v>
      </c>
      <c r="CK41" s="234">
        <f>'FIM interventions data'!AW42*'Assumptions data'!$T42*'Assumptions data'!$X42+CG41</f>
        <v>123095977.30613555</v>
      </c>
      <c r="CL41" s="234">
        <f>'FIM interventions data'!AX42*'Assumptions data'!$U41*'Assumptions data'!$Z42+CH41</f>
        <v>8959284.2090016734</v>
      </c>
      <c r="CM41" s="235">
        <f>'FIM interventions data'!AY42*'Assumptions data'!$V42*'Assumptions data'!$Y42+CI41</f>
        <v>91771564.080358207</v>
      </c>
    </row>
    <row r="42" spans="1:91">
      <c r="A42" s="9">
        <v>41</v>
      </c>
      <c r="B42" s="1" t="s">
        <v>513</v>
      </c>
      <c r="C42" s="1" t="s">
        <v>514</v>
      </c>
      <c r="D42" s="78">
        <f>'FIM interventions data'!E43*'Assumptions data'!L43*'Local food sourcing'!I42</f>
        <v>4184385.5150154606</v>
      </c>
      <c r="E42" s="118">
        <f>'FIM interventions data'!G43*'Assumptions data'!N43*'Local food sourcing'!I42</f>
        <v>9660804.3310644198</v>
      </c>
      <c r="F42" s="118">
        <f>'FIM interventions data'!I43*'Assumptions data'!$R42*'Local food sourcing'!$K42</f>
        <v>598032.72986845626</v>
      </c>
      <c r="G42" s="178">
        <f>'FIM interventions data'!K43*'Assumptions data'!$P42*'Local food sourcing'!$L42</f>
        <v>7202405.3355632266</v>
      </c>
      <c r="H42" s="247">
        <f>'FIM interventions data'!L43*'Assumptions data'!$L43*'Local food sourcing'!$I42</f>
        <v>723727.22311106313</v>
      </c>
      <c r="I42" s="234">
        <f>'FIM interventions data'!M43*'Assumptions data'!$N43*'Local food sourcing'!$I42</f>
        <v>1670923.2613608139</v>
      </c>
      <c r="J42" s="234">
        <f>'FIM interventions data'!N43*'Assumptions data'!$R42*'Local food sourcing'!$K42</f>
        <v>103435.15561940928</v>
      </c>
      <c r="K42" s="235">
        <f>'FIM interventions data'!O43*'Assumptions data'!$P42*'Local food sourcing'!$L42</f>
        <v>1245720.9773149258</v>
      </c>
      <c r="L42" s="247">
        <f>'FIM interventions data'!P43*'Assumptions data'!$L43*'Local food sourcing'!$I42</f>
        <v>1014354.2618423185</v>
      </c>
      <c r="M42" s="234">
        <f>'FIM interventions data'!Q43*'Assumptions data'!$N43*'Local food sourcing'!$I42</f>
        <v>2341915.679345265</v>
      </c>
      <c r="N42" s="234">
        <f>'FIM interventions data'!R43*'Assumptions data'!$R42*'Local food sourcing'!$K42</f>
        <v>144971.59644742319</v>
      </c>
      <c r="O42" s="235">
        <f>'FIM interventions data'!S43*'Assumptions data'!$P42*'Local food sourcing'!$L42</f>
        <v>1745964.974170746</v>
      </c>
      <c r="P42" s="247">
        <f>'FIM interventions data'!T43*'Assumptions data'!$L43*'Local food sourcing'!$I42</f>
        <v>2532041.5918440986</v>
      </c>
      <c r="Q42" s="234">
        <f>'FIM interventions data'!U43*'Assumptions data'!$N43*'Local food sourcing'!$I42</f>
        <v>5845914.1226695338</v>
      </c>
      <c r="R42" s="234">
        <f>'FIM interventions data'!V43*'Assumptions data'!$R42*'Local food sourcing'!$K42</f>
        <v>361879.59734522761</v>
      </c>
      <c r="S42" s="235">
        <f>'FIM interventions data'!W43*'Assumptions data'!$P42*'Local food sourcing'!$L42</f>
        <v>4358295.8132141801</v>
      </c>
      <c r="T42" s="247">
        <f>'FIM interventions data'!X43*'Assumptions data'!$L43*'Local food sourcing'!$I42</f>
        <v>109373.32393222135</v>
      </c>
      <c r="U42" s="234">
        <f>'FIM interventions data'!Y43*'Assumptions data'!$N43*'Local food sourcing'!$I42</f>
        <v>252518.38716954633</v>
      </c>
      <c r="V42" s="234">
        <f>'FIM interventions data'!Z43*'Assumptions data'!$R42*'Local food sourcing'!$K42</f>
        <v>15631.644658757405</v>
      </c>
      <c r="W42" s="235">
        <f>'FIM interventions data'!AA43*'Assumptions data'!$P42*'Local food sourcing'!$L42</f>
        <v>188259.66418029854</v>
      </c>
      <c r="X42" s="118">
        <f>'FIM interventions data'!E43*'Assumptions data'!S43+D42</f>
        <v>102412835.48000342</v>
      </c>
      <c r="Y42" s="118">
        <f>'FIM interventions data'!G43*'Assumptions data'!T43+E42</f>
        <v>123175255.22107136</v>
      </c>
      <c r="Z42" s="118">
        <f>'FIM interventions data'!I43*'Assumptions data'!U42+F42</f>
        <v>85319336.127899766</v>
      </c>
      <c r="AA42" s="178">
        <f>'FIM interventions data'!K43*'Assumptions data'!$V43+G42</f>
        <v>91830668.028431147</v>
      </c>
      <c r="AB42" s="234">
        <f>'FIM interventions data'!L43*'Assumptions data'!$S43+H42</f>
        <v>17713223.785643268</v>
      </c>
      <c r="AC42" s="234">
        <f>'FIM interventions data'!M43*'Assumptions data'!$T43+I42</f>
        <v>21304271.582350377</v>
      </c>
      <c r="AD42" s="234">
        <f>'FIM interventions data'!N43*'Assumptions data'!$U42+J42</f>
        <v>14756748.86836906</v>
      </c>
      <c r="AE42" s="235">
        <f>'FIM interventions data'!O43*'Assumptions data'!$V43+K42</f>
        <v>15882942.460765306</v>
      </c>
      <c r="AF42" s="234">
        <f>'FIM interventions data'!P43*'Assumptions data'!$S43+L42</f>
        <v>24826320.558590744</v>
      </c>
      <c r="AG42" s="234">
        <f>'FIM interventions data'!Q43*'Assumptions data'!$T43+M42</f>
        <v>29859424.911652133</v>
      </c>
      <c r="AH42" s="234">
        <f>'FIM interventions data'!R43*'Assumptions data'!$U42+N42</f>
        <v>20682614.426499043</v>
      </c>
      <c r="AI42" s="235">
        <f>'FIM interventions data'!S43*'Assumptions data'!$V43+O42</f>
        <v>22261053.420677014</v>
      </c>
      <c r="AJ42" s="234">
        <f>'FIM interventions data'!T43*'Assumptions data'!$S43+P42</f>
        <v>61971717.960384317</v>
      </c>
      <c r="AK42" s="234">
        <f>'FIM interventions data'!U43*'Assumptions data'!$T43+Q42</f>
        <v>74535405.064036563</v>
      </c>
      <c r="AL42" s="234">
        <f>'FIM interventions data'!V43*'Assumptions data'!$U42+R42</f>
        <v>51628155.887919135</v>
      </c>
      <c r="AM42" s="235">
        <f>'FIM interventions data'!W43*'Assumptions data'!$V43+S42</f>
        <v>55568271.618480802</v>
      </c>
      <c r="AN42" s="234">
        <f>'FIM interventions data'!X43*'Assumptions data'!$S43+T42</f>
        <v>2676912.1032411172</v>
      </c>
      <c r="AO42" s="234">
        <f>'FIM interventions data'!Y43*'Assumptions data'!$T43+U42</f>
        <v>3219609.436411716</v>
      </c>
      <c r="AP42" s="234">
        <f>'FIM interventions data'!Z43*'Assumptions data'!$U42+V42</f>
        <v>2230114.6379827228</v>
      </c>
      <c r="AQ42" s="235">
        <f>'FIM interventions data'!AA43*'Assumptions data'!$V43+W42</f>
        <v>2400310.7182988063</v>
      </c>
      <c r="AR42" s="118">
        <f>'FIM interventions data'!AB43*'Assumptions data'!$L43*'Local food sourcing'!$I42</f>
        <v>1047253.5908691841</v>
      </c>
      <c r="AS42" s="118">
        <f>'FIM interventions data'!AC43*'Assumptions data'!$N43*'Local food sourcing'!$I42</f>
        <v>2417872.8250746257</v>
      </c>
      <c r="AT42" s="118">
        <f>'FIM interventions data'!AD43*'Assumptions data'!$R42*'Local food sourcing'!$K42</f>
        <v>149673.57132000002</v>
      </c>
      <c r="AU42" s="178">
        <f>'FIM interventions data'!AE43*'Assumptions data'!$P42*'Local food sourcing'!$L42</f>
        <v>1802593.1940298502</v>
      </c>
      <c r="AV42" s="234">
        <f>'FIM interventions data'!AF43*'Assumptions data'!$L43*'Local food sourcing'!$I42</f>
        <v>612315.24422999355</v>
      </c>
      <c r="AW42" s="234">
        <f>'FIM interventions data'!AG43*'Assumptions data'!$N43*'Local food sourcing'!$I42</f>
        <v>1413698.0787756199</v>
      </c>
      <c r="AX42" s="234">
        <f>'FIM interventions data'!AH43*'Assumptions data'!$R42*'Local food sourcing'!$K42</f>
        <v>87512.146223835822</v>
      </c>
      <c r="AY42" s="235">
        <f>'FIM interventions data'!AI43*'Assumptions data'!$P42*'Local food sourcing'!$L42</f>
        <v>1053952.2628264595</v>
      </c>
      <c r="AZ42" s="234">
        <f>'FIM interventions data'!AJ43*'Assumptions data'!$L43*'Local food sourcing'!$I42</f>
        <v>318649.29952911392</v>
      </c>
      <c r="BA42" s="234">
        <f>'FIM interventions data'!AK43*'Assumptions data'!$N43*'Local food sourcing'!$I42</f>
        <v>735689.51090543403</v>
      </c>
      <c r="BB42" s="234">
        <f>'FIM interventions data'!AL43*'Assumptions data'!$R42*'Local food sourcing'!$K42</f>
        <v>45541.384698958187</v>
      </c>
      <c r="BC42" s="235">
        <f>'FIM interventions data'!AM43*'Assumptions data'!$P42*'Local food sourcing'!$L42</f>
        <v>548477.52599905815</v>
      </c>
      <c r="BD42" s="234">
        <f>'FIM interventions data'!AN43*'Assumptions data'!$L43*'Local food sourcing'!$I42</f>
        <v>379697.60491962294</v>
      </c>
      <c r="BE42" s="234">
        <f>'FIM interventions data'!AO43*'Assumptions data'!$N43*'Local food sourcing'!$I42</f>
        <v>876636.3072759863</v>
      </c>
      <c r="BF42" s="234">
        <f>'FIM interventions data'!AP43*'Assumptions data'!$R42*'Local food sourcing'!$K42</f>
        <v>54266.413641802726</v>
      </c>
      <c r="BG42" s="235">
        <f>'FIM interventions data'!AQ43*'Assumptions data'!$P42*'Local food sourcing'!$L42</f>
        <v>653557.38513103197</v>
      </c>
      <c r="BH42" s="234">
        <f>'FIM interventions data'!AR43*'Assumptions data'!$L43*'Local food sourcing'!$I42</f>
        <v>23088.017684187169</v>
      </c>
      <c r="BI42" s="234">
        <f>'FIM interventions data'!AS43*'Assumptions data'!$N43*'Local food sourcing'!$I42</f>
        <v>53305.036172859225</v>
      </c>
      <c r="BJ42" s="234">
        <f>'FIM interventions data'!AT43*'Assumptions data'!$R42*'Local food sourcing'!$K42</f>
        <v>3299.741429985002</v>
      </c>
      <c r="BK42" s="235">
        <f>'FIM interventions data'!AU43*'Assumptions data'!$P42*'Local food sourcing'!$L42</f>
        <v>39740.425723071407</v>
      </c>
      <c r="BL42" s="118">
        <f>'FIM interventions data'!AB43*'Assumptions data'!$S43*'Assumptions data'!$W43+AR42</f>
        <v>19485462.125109758</v>
      </c>
      <c r="BM42" s="118">
        <f>'FIM interventions data'!AC43*'Assumptions data'!$T43*'Assumptions data'!$X43+AS42</f>
        <v>16622875.672388054</v>
      </c>
      <c r="BN42" s="234">
        <f>'FIM interventions data'!AD43*'Assumptions data'!$U42*'Assumptions data'!$Z43+AT42</f>
        <v>1209861.3681700004</v>
      </c>
      <c r="BO42" s="235">
        <f>'FIM interventions data'!AE43*'Assumptions data'!$V43*'Assumptions data'!$Y43+AU42</f>
        <v>12392828.208955221</v>
      </c>
      <c r="BP42" s="234">
        <f>'FIM interventions data'!AF43*'Assumptions data'!$S43*'Assumptions data'!$W43+AV42</f>
        <v>11392890.512954315</v>
      </c>
      <c r="BQ42" s="234">
        <f>'FIM interventions data'!AG43*'Assumptions data'!$T43*'Assumptions data'!$X43+AW42</f>
        <v>9719174.2915823869</v>
      </c>
      <c r="BR42" s="234">
        <f>'FIM interventions data'!AH43*'Assumptions data'!$U42*'Assumptions data'!$Z43+AX42</f>
        <v>707389.84864267288</v>
      </c>
      <c r="BS42" s="235">
        <f>'FIM interventions data'!AI43*'Assumptions data'!$V43*'Assumptions data'!$Y43+AY42</f>
        <v>7245921.8069319101</v>
      </c>
      <c r="BT42" s="234">
        <f>'FIM interventions data'!AJ43*'Assumptions data'!$S43*'Assumptions data'!$W43+AZ42</f>
        <v>5928868.5293635763</v>
      </c>
      <c r="BU42" s="234">
        <f>'FIM interventions data'!AK43*'Assumptions data'!$T43*'Assumptions data'!$X43+BA42</f>
        <v>5057865.3874748601</v>
      </c>
      <c r="BV42" s="234">
        <f>'FIM interventions data'!AL43*'Assumptions data'!$U42*'Assumptions data'!$Z43+BB42</f>
        <v>368126.19298324536</v>
      </c>
      <c r="BW42" s="235">
        <f>'FIM interventions data'!AM43*'Assumptions data'!$V43*'Assumptions data'!$Y43+BC42</f>
        <v>3770782.9912435249</v>
      </c>
      <c r="BX42" s="234">
        <f>'FIM interventions data'!AN43*'Assumptions data'!$S43*'Assumptions data'!$W43+BD42</f>
        <v>7064748.5615357347</v>
      </c>
      <c r="BY42" s="234">
        <f>'FIM interventions data'!AO43*'Assumptions data'!$T43*'Assumptions data'!$X43+BE42</f>
        <v>6026874.6125224065</v>
      </c>
      <c r="BZ42" s="234">
        <f>'FIM interventions data'!AP43*'Assumptions data'!$U42*'Assumptions data'!$Z43+BF42</f>
        <v>438653.51027123869</v>
      </c>
      <c r="CA42" s="235">
        <f>'FIM interventions data'!AQ43*'Assumptions data'!$V43*'Assumptions data'!$Y43+BG42</f>
        <v>4493207.0227758447</v>
      </c>
      <c r="CB42" s="234">
        <f>'FIM interventions data'!AR43*'Assumptions data'!$S43*'Assumptions data'!$W43+BH42</f>
        <v>429581.4290364075</v>
      </c>
      <c r="CC42" s="234">
        <f>'FIM interventions data'!AS43*'Assumptions data'!$T43*'Assumptions data'!$X43+BI42</f>
        <v>366472.12368840713</v>
      </c>
      <c r="CD42" s="234">
        <f>'FIM interventions data'!AT43*'Assumptions data'!$U42*'Assumptions data'!$Z43+BJ42</f>
        <v>26672.909892378768</v>
      </c>
      <c r="CE42" s="234">
        <f>'FIM interventions data'!AU43*'Assumptions data'!$V43*'Assumptions data'!$Y43+BK42</f>
        <v>273215.42684611591</v>
      </c>
      <c r="CF42" s="247">
        <f>'FIM interventions data'!AV43*'Assumptions data'!$L43*'Local food sourcing'!$I42</f>
        <v>818027.63051799859</v>
      </c>
      <c r="CG42" s="234">
        <f>'FIM interventions data'!AW43*'Assumptions data'!$N43*'Local food sourcing'!$I42</f>
        <v>1888641.676891343</v>
      </c>
      <c r="CH42" s="234">
        <f>'FIM interventions data'!AX43*'Assumptions data'!$R42*'Local food sourcing'!$K42</f>
        <v>116912.57778018</v>
      </c>
      <c r="CI42" s="234">
        <f>'FIM interventions data'!AY43*'Assumptions data'!$P42*'Local food sourcing'!$L42</f>
        <v>1408036.269492537</v>
      </c>
      <c r="CJ42" s="247">
        <f>'FIM interventions data'!AV43*'Assumptions data'!$S43*'Assumptions data'!$W43+CF42</f>
        <v>15220426.600325512</v>
      </c>
      <c r="CK42" s="234">
        <f>'FIM interventions data'!AW43*'Assumptions data'!$T43*'Assumptions data'!$X43+CG42</f>
        <v>12984411.528627984</v>
      </c>
      <c r="CL42" s="234">
        <f>'FIM interventions data'!AX43*'Assumptions data'!$U42*'Assumptions data'!$Z43+CH42</f>
        <v>945043.33705645509</v>
      </c>
      <c r="CM42" s="235">
        <f>'FIM interventions data'!AY43*'Assumptions data'!$V43*'Assumptions data'!$Y43+CI42</f>
        <v>9680249.3527611922</v>
      </c>
    </row>
    <row r="43" spans="1:91">
      <c r="A43" s="9">
        <v>42</v>
      </c>
      <c r="B43" s="1" t="s">
        <v>518</v>
      </c>
      <c r="C43" s="1" t="s">
        <v>519</v>
      </c>
      <c r="D43" s="78">
        <f>'FIM interventions data'!E44*'Assumptions data'!L44*'Local food sourcing'!I43</f>
        <v>37943058.858068503</v>
      </c>
      <c r="E43" s="118">
        <f>'FIM interventions data'!G44*'Assumptions data'!N44*'Local food sourcing'!I43</f>
        <v>87601982.66495195</v>
      </c>
      <c r="F43" s="118">
        <f>'FIM interventions data'!I44*'Assumptions data'!$R43*'Local food sourcing'!$K43</f>
        <v>5422825.1644175714</v>
      </c>
      <c r="G43" s="178">
        <f>'FIM interventions data'!K44*'Assumptions data'!$P43*'Local food sourcing'!$L43</f>
        <v>65309778.123044766</v>
      </c>
      <c r="H43" s="247">
        <f>'FIM interventions data'!L44*'Assumptions data'!$L44*'Local food sourcing'!$I43</f>
        <v>7845860.423838893</v>
      </c>
      <c r="I43" s="234">
        <f>'FIM interventions data'!M44*'Assumptions data'!$N44*'Local food sourcing'!$I43</f>
        <v>18114325.769352451</v>
      </c>
      <c r="J43" s="234">
        <f>'FIM interventions data'!N44*'Assumptions data'!$R43*'Local food sourcing'!$K43</f>
        <v>1121331.0319037177</v>
      </c>
      <c r="K43" s="235">
        <f>'FIM interventions data'!O44*'Assumptions data'!$P43*'Local food sourcing'!$L43</f>
        <v>13504746.820282597</v>
      </c>
      <c r="L43" s="247">
        <f>'FIM interventions data'!P44*'Assumptions data'!$L44*'Local food sourcing'!$I43</f>
        <v>6330140.6603089059</v>
      </c>
      <c r="M43" s="234">
        <f>'FIM interventions data'!Q44*'Assumptions data'!$N44*'Local food sourcing'!$I43</f>
        <v>14614869.994150935</v>
      </c>
      <c r="N43" s="234">
        <f>'FIM interventions data'!R44*'Assumptions data'!$R43*'Local food sourcing'!$K43</f>
        <v>904704.23577160761</v>
      </c>
      <c r="O43" s="235">
        <f>'FIM interventions data'!S44*'Assumptions data'!$P43*'Local food sourcing'!$L43</f>
        <v>10895802.669966498</v>
      </c>
      <c r="P43" s="247">
        <f>'FIM interventions data'!T44*'Assumptions data'!$L44*'Local food sourcing'!$I43</f>
        <v>18147040.244948581</v>
      </c>
      <c r="Q43" s="234">
        <f>'FIM interventions data'!U44*'Assumptions data'!$N44*'Local food sourcing'!$I43</f>
        <v>41897431.38276583</v>
      </c>
      <c r="R43" s="234">
        <f>'FIM interventions data'!V44*'Assumptions data'!$R43*'Local food sourcing'!$K43</f>
        <v>2593576.5186490566</v>
      </c>
      <c r="S43" s="235">
        <f>'FIM interventions data'!W44*'Assumptions data'!$P43*'Local food sourcing'!$L43</f>
        <v>31235730.79389539</v>
      </c>
      <c r="T43" s="247">
        <f>'FIM interventions data'!X44*'Assumptions data'!$L44*'Local food sourcing'!$I43</f>
        <v>416805.74960491701</v>
      </c>
      <c r="U43" s="234">
        <f>'FIM interventions data'!Y44*'Assumptions data'!$N44*'Local food sourcing'!$I43</f>
        <v>962310.66103880631</v>
      </c>
      <c r="V43" s="234">
        <f>'FIM interventions data'!Z44*'Assumptions data'!$R43*'Local food sourcing'!$K43</f>
        <v>59569.912802400024</v>
      </c>
      <c r="W43" s="235">
        <f>'FIM interventions data'!AA44*'Assumptions data'!$P43*'Local food sourcing'!$L43</f>
        <v>717430.06089552259</v>
      </c>
      <c r="X43" s="118">
        <f>'FIM interventions data'!E44*'Assumptions data'!S44+D43</f>
        <v>928656365.55122662</v>
      </c>
      <c r="Y43" s="118">
        <f>'FIM interventions data'!G44*'Assumptions data'!T44+E43</f>
        <v>1116925278.9781375</v>
      </c>
      <c r="Z43" s="118">
        <f>'FIM interventions data'!I44*'Assumptions data'!U43+F43</f>
        <v>773656390.12357342</v>
      </c>
      <c r="AA43" s="178">
        <f>'FIM interventions data'!K44*'Assumptions data'!$V44+G43</f>
        <v>832699671.06882083</v>
      </c>
      <c r="AB43" s="234">
        <f>'FIM interventions data'!L44*'Assumptions data'!$S44+H43</f>
        <v>192027433.8734569</v>
      </c>
      <c r="AC43" s="234">
        <f>'FIM interventions data'!M44*'Assumptions data'!$T44+I43</f>
        <v>230957653.5592438</v>
      </c>
      <c r="AD43" s="234">
        <f>'FIM interventions data'!N44*'Assumptions data'!$U43+J43</f>
        <v>159976560.55159706</v>
      </c>
      <c r="AE43" s="235">
        <f>'FIM interventions data'!O44*'Assumptions data'!$V44+K43</f>
        <v>172185521.95860311</v>
      </c>
      <c r="AF43" s="234">
        <f>'FIM interventions data'!P44*'Assumptions data'!$S44+L43</f>
        <v>154930192.66106048</v>
      </c>
      <c r="AG43" s="234">
        <f>'FIM interventions data'!Q44*'Assumptions data'!$T44+M43</f>
        <v>186339592.42542443</v>
      </c>
      <c r="AH43" s="234">
        <f>'FIM interventions data'!R44*'Assumptions data'!$U43+N43</f>
        <v>129071137.63674936</v>
      </c>
      <c r="AI43" s="235">
        <f>'FIM interventions data'!S44*'Assumptions data'!$V44+O43</f>
        <v>138921484.04207286</v>
      </c>
      <c r="AJ43" s="234">
        <f>'FIM interventions data'!T44*'Assumptions data'!$S44+P43</f>
        <v>444148809.99511653</v>
      </c>
      <c r="AK43" s="234">
        <f>'FIM interventions data'!U44*'Assumptions data'!$T44+Q43</f>
        <v>534192250.1302644</v>
      </c>
      <c r="AL43" s="234">
        <f>'FIM interventions data'!V44*'Assumptions data'!$U43+R43</f>
        <v>370016916.66059875</v>
      </c>
      <c r="AM43" s="235">
        <f>'FIM interventions data'!W44*'Assumptions data'!$V44+S43</f>
        <v>398255567.62216622</v>
      </c>
      <c r="AN43" s="234">
        <f>'FIM interventions data'!X44*'Assumptions data'!$S44+T43</f>
        <v>10201320.721580343</v>
      </c>
      <c r="AO43" s="234">
        <f>'FIM interventions data'!Y44*'Assumptions data'!$T44+U43</f>
        <v>12269460.928244783</v>
      </c>
      <c r="AP43" s="234">
        <f>'FIM interventions data'!Z44*'Assumptions data'!$U43+V43</f>
        <v>8498640.8931424022</v>
      </c>
      <c r="AQ43" s="235">
        <f>'FIM interventions data'!AA44*'Assumptions data'!$V44+W43</f>
        <v>9147233.2764179148</v>
      </c>
      <c r="AR43" s="118">
        <f>'FIM interventions data'!AB44*'Assumptions data'!$L44*'Local food sourcing'!$I43</f>
        <v>11887174.544588001</v>
      </c>
      <c r="AS43" s="118">
        <f>'FIM interventions data'!AC44*'Assumptions data'!$N44*'Local food sourcing'!$I43</f>
        <v>27444810.45362049</v>
      </c>
      <c r="AT43" s="118">
        <f>'FIM interventions data'!AD44*'Assumptions data'!$R43*'Local food sourcing'!$K43</f>
        <v>1698915.9860660019</v>
      </c>
      <c r="AU43" s="178">
        <f>'FIM interventions data'!AE44*'Assumptions data'!$P43*'Local food sourcing'!$L43</f>
        <v>20460889.432267249</v>
      </c>
      <c r="AV43" s="234">
        <f>'FIM interventions data'!AF44*'Assumptions data'!$L44*'Local food sourcing'!$I43</f>
        <v>7137669.286648578</v>
      </c>
      <c r="AW43" s="234">
        <f>'FIM interventions data'!AG44*'Assumptions data'!$N44*'Local food sourcing'!$I43</f>
        <v>16479271.83351443</v>
      </c>
      <c r="AX43" s="234">
        <f>'FIM interventions data'!AH44*'Assumptions data'!$R43*'Local food sourcing'!$K43</f>
        <v>1020116.2949912644</v>
      </c>
      <c r="AY43" s="235">
        <f>'FIM interventions data'!AI44*'Assumptions data'!$P43*'Local food sourcing'!$L43</f>
        <v>12285767.448808677</v>
      </c>
      <c r="AZ43" s="234">
        <f>'FIM interventions data'!AJ44*'Assumptions data'!$L44*'Local food sourcing'!$I43</f>
        <v>3322439.700140879</v>
      </c>
      <c r="BA43" s="234">
        <f>'FIM interventions data'!AK44*'Assumptions data'!$N44*'Local food sourcing'!$I43</f>
        <v>7670765.4516156064</v>
      </c>
      <c r="BB43" s="234">
        <f>'FIM interventions data'!AL44*'Assumptions data'!$R43*'Local food sourcing'!$K43</f>
        <v>474843.36148488068</v>
      </c>
      <c r="BC43" s="235">
        <f>'FIM interventions data'!AM44*'Assumptions data'!$P43*'Local food sourcing'!$L43</f>
        <v>5718774.5578201916</v>
      </c>
      <c r="BD43" s="234">
        <f>'FIM interventions data'!AN44*'Assumptions data'!$L44*'Local food sourcing'!$I43</f>
        <v>2781109.0259719728</v>
      </c>
      <c r="BE43" s="234">
        <f>'FIM interventions data'!AO44*'Assumptions data'!$N44*'Local food sourcing'!$I43</f>
        <v>6420954.7678766176</v>
      </c>
      <c r="BF43" s="234">
        <f>'FIM interventions data'!AP44*'Assumptions data'!$R43*'Local food sourcing'!$K43</f>
        <v>397476.33598661789</v>
      </c>
      <c r="BG43" s="235">
        <f>'FIM interventions data'!AQ44*'Assumptions data'!$P43*'Local food sourcing'!$L43</f>
        <v>4787005.0251260316</v>
      </c>
      <c r="BH43" s="234">
        <f>'FIM interventions data'!AR44*'Assumptions data'!$L44*'Local food sourcing'!$I43</f>
        <v>109312.31360209675</v>
      </c>
      <c r="BI43" s="234">
        <f>'FIM interventions data'!AS44*'Assumptions data'!$N44*'Local food sourcing'!$I43</f>
        <v>252377.52804951731</v>
      </c>
      <c r="BJ43" s="234">
        <f>'FIM interventions data'!AT44*'Assumptions data'!$R43*'Local food sourcing'!$K43</f>
        <v>15622.925057242763</v>
      </c>
      <c r="BK43" s="235">
        <f>'FIM interventions data'!AU44*'Assumptions data'!$P43*'Local food sourcing'!$L43</f>
        <v>188154.64968638134</v>
      </c>
      <c r="BL43" s="118">
        <f>'FIM interventions data'!AB44*'Assumptions data'!$S44*'Assumptions data'!$W44+AR43</f>
        <v>221175741.37024048</v>
      </c>
      <c r="BM43" s="118">
        <f>'FIM interventions data'!AC44*'Assumptions data'!$T44*'Assumptions data'!$X44+AS43</f>
        <v>188683071.86864087</v>
      </c>
      <c r="BN43" s="234">
        <f>'FIM interventions data'!AD44*'Assumptions data'!$U43*'Assumptions data'!$Z44+AT43</f>
        <v>13732904.220700184</v>
      </c>
      <c r="BO43" s="235">
        <f>'FIM interventions data'!AE44*'Assumptions data'!$V44*'Assumptions data'!$Y44+AU43</f>
        <v>140668614.84683734</v>
      </c>
      <c r="BP43" s="234">
        <f>'FIM interventions data'!AF44*'Assumptions data'!$S44*'Assumptions data'!$W44+AV43</f>
        <v>132805259.16470508</v>
      </c>
      <c r="BQ43" s="234">
        <f>'FIM interventions data'!AG44*'Assumptions data'!$T44*'Assumptions data'!$X44+AW43</f>
        <v>113294993.85541171</v>
      </c>
      <c r="BR43" s="234">
        <f>'FIM interventions data'!AH44*'Assumptions data'!$U43*'Assumptions data'!$Z44+AX43</f>
        <v>8245940.0511793876</v>
      </c>
      <c r="BS43" s="235">
        <f>'FIM interventions data'!AI44*'Assumptions data'!$V44*'Assumptions data'!$Y44+AY43</f>
        <v>84464651.210559666</v>
      </c>
      <c r="BT43" s="234">
        <f>'FIM interventions data'!AJ44*'Assumptions data'!$S44*'Assumptions data'!$W44+AZ43</f>
        <v>61818143.670746237</v>
      </c>
      <c r="BU43" s="234">
        <f>'FIM interventions data'!AK44*'Assumptions data'!$T44*'Assumptions data'!$X44+BA43</f>
        <v>52736512.479857303</v>
      </c>
      <c r="BV43" s="234">
        <f>'FIM interventions data'!AL44*'Assumptions data'!$U43*'Assumptions data'!$Z44+BB43</f>
        <v>3838317.1720027858</v>
      </c>
      <c r="BW43" s="235">
        <f>'FIM interventions data'!AM44*'Assumptions data'!$V44*'Assumptions data'!$Y44+BC43</f>
        <v>39316575.085013822</v>
      </c>
      <c r="BX43" s="234">
        <f>'FIM interventions data'!AN44*'Assumptions data'!$S44*'Assumptions data'!$W44+BD43</f>
        <v>51746009.814491011</v>
      </c>
      <c r="BY43" s="234">
        <f>'FIM interventions data'!AO44*'Assumptions data'!$T44*'Assumptions data'!$X44+BE43</f>
        <v>44144064.029151753</v>
      </c>
      <c r="BZ43" s="234">
        <f>'FIM interventions data'!AP44*'Assumptions data'!$U43*'Assumptions data'!$Z44+BF43</f>
        <v>3212933.7158918283</v>
      </c>
      <c r="CA43" s="235">
        <f>'FIM interventions data'!AQ44*'Assumptions data'!$V44*'Assumptions data'!$Y44+BG43</f>
        <v>32910659.547741473</v>
      </c>
      <c r="CB43" s="234">
        <f>'FIM interventions data'!AR44*'Assumptions data'!$S44*'Assumptions data'!$W44+BH43</f>
        <v>2033892.2349590128</v>
      </c>
      <c r="CC43" s="234">
        <f>'FIM interventions data'!AS44*'Assumptions data'!$T44*'Assumptions data'!$X44+BI43</f>
        <v>1735095.5053404314</v>
      </c>
      <c r="CD43" s="234">
        <f>'FIM interventions data'!AT44*'Assumptions data'!$U43*'Assumptions data'!$Z44+BJ43</f>
        <v>126285.31087937902</v>
      </c>
      <c r="CE43" s="234">
        <f>'FIM interventions data'!AU44*'Assumptions data'!$V44*'Assumptions data'!$Y44+BK43</f>
        <v>1293563.2165938718</v>
      </c>
      <c r="CF43" s="247">
        <f>'FIM interventions data'!AV44*'Assumptions data'!$L44*'Local food sourcing'!$I43</f>
        <v>8312432.8472344205</v>
      </c>
      <c r="CG43" s="234">
        <f>'FIM interventions data'!AW44*'Assumptions data'!$N44*'Local food sourcing'!$I43</f>
        <v>19191536.478671636</v>
      </c>
      <c r="CH43" s="234">
        <f>'FIM interventions data'!AX44*'Assumptions data'!$R43*'Local food sourcing'!$K43</f>
        <v>1188013.6019115001</v>
      </c>
      <c r="CI43" s="234">
        <f>'FIM interventions data'!AY44*'Assumptions data'!$P43*'Local food sourcing'!$L43</f>
        <v>14307838.146268655</v>
      </c>
      <c r="CJ43" s="247">
        <f>'FIM interventions data'!AV44*'Assumptions data'!$S44*'Assumptions data'!$W44+CF43</f>
        <v>154663203.66385543</v>
      </c>
      <c r="CK43" s="234">
        <f>'FIM interventions data'!AW44*'Assumptions data'!$T44*'Assumptions data'!$X44+CG43</f>
        <v>131941813.29086752</v>
      </c>
      <c r="CL43" s="234">
        <f>'FIM interventions data'!AX44*'Assumptions data'!$U43*'Assumptions data'!$Z44+CH43</f>
        <v>9603109.9487846252</v>
      </c>
      <c r="CM43" s="235">
        <f>'FIM interventions data'!AY44*'Assumptions data'!$V44*'Assumptions data'!$Y44+CI43</f>
        <v>98366387.25559701</v>
      </c>
    </row>
    <row r="44" spans="1:91">
      <c r="A44" s="9">
        <v>43</v>
      </c>
      <c r="B44" s="1" t="s">
        <v>523</v>
      </c>
      <c r="C44" s="1" t="s">
        <v>524</v>
      </c>
      <c r="D44" s="78">
        <f>'FIM interventions data'!E45*'Assumptions data'!L45*'Local food sourcing'!I44</f>
        <v>221790623.31399918</v>
      </c>
      <c r="E44" s="118">
        <f>'FIM interventions data'!G45*'Assumptions data'!N45*'Local food sourcing'!I44</f>
        <v>512064628.51294982</v>
      </c>
      <c r="F44" s="118">
        <f>'FIM interventions data'!I45*'Assumptions data'!$R44*'Local food sourcing'!$K44</f>
        <v>31698334.54487697</v>
      </c>
      <c r="G44" s="178">
        <f>'FIM interventions data'!K45*'Assumptions data'!$P44*'Local food sourcing'!$L44</f>
        <v>381758794.21299911</v>
      </c>
      <c r="H44" s="247">
        <f>'FIM interventions data'!L45*'Assumptions data'!$L45*'Local food sourcing'!$I44</f>
        <v>39758195.249298222</v>
      </c>
      <c r="I44" s="234">
        <f>'FIM interventions data'!M45*'Assumptions data'!$N45*'Local food sourcing'!$I44</f>
        <v>91792724.040702045</v>
      </c>
      <c r="J44" s="234">
        <f>'FIM interventions data'!N45*'Assumptions data'!$R44*'Local food sourcing'!$K44</f>
        <v>5682244.6101726014</v>
      </c>
      <c r="K44" s="235">
        <f>'FIM interventions data'!O45*'Assumptions data'!$P44*'Local food sourcing'!$L44</f>
        <v>68434095.416959226</v>
      </c>
      <c r="L44" s="247">
        <f>'FIM interventions data'!P45*'Assumptions data'!$L45*'Local food sourcing'!$I44</f>
        <v>32115908.577969089</v>
      </c>
      <c r="M44" s="234">
        <f>'FIM interventions data'!Q45*'Assumptions data'!$N45*'Local food sourcing'!$I44</f>
        <v>74148404.245435864</v>
      </c>
      <c r="N44" s="234">
        <f>'FIM interventions data'!R45*'Assumptions data'!$R44*'Local food sourcing'!$K44</f>
        <v>4590008.3561057029</v>
      </c>
      <c r="O44" s="235">
        <f>'FIM interventions data'!S45*'Assumptions data'!$P44*'Local food sourcing'!$L44</f>
        <v>55279751.463715397</v>
      </c>
      <c r="P44" s="247">
        <f>'FIM interventions data'!T45*'Assumptions data'!$L45*'Local food sourcing'!$I44</f>
        <v>125618428.60465342</v>
      </c>
      <c r="Q44" s="234">
        <f>'FIM interventions data'!U45*'Assumptions data'!$N45*'Local food sourcing'!$I44</f>
        <v>290024677.40376407</v>
      </c>
      <c r="R44" s="234">
        <f>'FIM interventions data'!V45*'Assumptions data'!$R44*'Local food sourcing'!$K44</f>
        <v>17953396.385358889</v>
      </c>
      <c r="S44" s="235">
        <f>'FIM interventions data'!W45*'Assumptions data'!$P44*'Local food sourcing'!$L44</f>
        <v>216221673.93051049</v>
      </c>
      <c r="T44" s="247">
        <f>'FIM interventions data'!X45*'Assumptions data'!$L45*'Local food sourcing'!$I44</f>
        <v>4145762.3206968228</v>
      </c>
      <c r="U44" s="234">
        <f>'FIM interventions data'!Y45*'Assumptions data'!$N45*'Local food sourcing'!$I44</f>
        <v>9571632.0687061641</v>
      </c>
      <c r="V44" s="234">
        <f>'FIM interventions data'!Z45*'Assumptions data'!$R44*'Local food sourcing'!$K44</f>
        <v>592512.6996867893</v>
      </c>
      <c r="W44" s="235">
        <f>'FIM interventions data'!AA45*'Assumptions data'!$P44*'Local food sourcing'!$L44</f>
        <v>7135924.8691150909</v>
      </c>
      <c r="X44" s="118">
        <f>'FIM interventions data'!E45*'Assumptions data'!S45+D44</f>
        <v>3692813878.1780863</v>
      </c>
      <c r="Y44" s="118">
        <f>'FIM interventions data'!G45*'Assumptions data'!T45+E44</f>
        <v>4523237551.8643913</v>
      </c>
      <c r="Z44" s="118">
        <f>'FIM interventions data'!I45*'Assumptions data'!U44+F44</f>
        <v>3025429930.4499245</v>
      </c>
      <c r="AA44" s="178">
        <f>'FIM interventions data'!K45*'Assumptions data'!$V45+G44</f>
        <v>3372202682.2148256</v>
      </c>
      <c r="AB44" s="234">
        <f>'FIM interventions data'!L45*'Assumptions data'!$S45+H44</f>
        <v>661973950.90081549</v>
      </c>
      <c r="AC44" s="234">
        <f>'FIM interventions data'!M45*'Assumptions data'!$T45+I44</f>
        <v>810835729.02620149</v>
      </c>
      <c r="AD44" s="234">
        <f>'FIM interventions data'!N45*'Assumptions data'!$U44+J44</f>
        <v>542338680.01536274</v>
      </c>
      <c r="AE44" s="235">
        <f>'FIM interventions data'!O45*'Assumptions data'!$V45+K44</f>
        <v>604501176.1831398</v>
      </c>
      <c r="AF44" s="234">
        <f>'FIM interventions data'!P45*'Assumptions data'!$S45+L44</f>
        <v>534729877.82318538</v>
      </c>
      <c r="AG44" s="234">
        <f>'FIM interventions data'!Q45*'Assumptions data'!$T45+M44</f>
        <v>654977570.83468354</v>
      </c>
      <c r="AH44" s="234">
        <f>'FIM interventions data'!R45*'Assumptions data'!$U44+N44</f>
        <v>438090797.54386652</v>
      </c>
      <c r="AI44" s="235">
        <f>'FIM interventions data'!S45*'Assumptions data'!$V45+O44</f>
        <v>488304471.26281941</v>
      </c>
      <c r="AJ44" s="234">
        <f>'FIM interventions data'!T45*'Assumptions data'!$S45+P44</f>
        <v>2091546836.2674797</v>
      </c>
      <c r="AK44" s="234">
        <f>'FIM interventions data'!U45*'Assumptions data'!$T45+Q44</f>
        <v>2561884650.3999166</v>
      </c>
      <c r="AL44" s="234">
        <f>'FIM interventions data'!V45*'Assumptions data'!$U44+R44</f>
        <v>1713551943.8914762</v>
      </c>
      <c r="AM44" s="235">
        <f>'FIM interventions data'!W45*'Assumptions data'!$V45+S44</f>
        <v>1909958119.7195096</v>
      </c>
      <c r="AN44" s="234">
        <f>'FIM interventions data'!X45*'Assumptions data'!$S45+T44</f>
        <v>69026942.63960211</v>
      </c>
      <c r="AO44" s="234">
        <f>'FIM interventions data'!Y45*'Assumptions data'!$T45+U44</f>
        <v>84549416.606904477</v>
      </c>
      <c r="AP44" s="234">
        <f>'FIM interventions data'!Z45*'Assumptions data'!$U44+V44</f>
        <v>56552045.447883569</v>
      </c>
      <c r="AQ44" s="235">
        <f>'FIM interventions data'!AA45*'Assumptions data'!$V45+W44</f>
        <v>63034003.010516651</v>
      </c>
      <c r="AR44" s="118">
        <f>'FIM interventions data'!AB45*'Assumptions data'!$L45*'Local food sourcing'!$I44</f>
        <v>60912162.227274865</v>
      </c>
      <c r="AS44" s="118">
        <f>'FIM interventions data'!AC45*'Assumptions data'!$N45*'Local food sourcing'!$I44</f>
        <v>140632472.44980037</v>
      </c>
      <c r="AT44" s="118">
        <f>'FIM interventions data'!AD45*'Assumptions data'!$R44*'Local food sourcing'!$K44</f>
        <v>8705571.3505004011</v>
      </c>
      <c r="AU44" s="178">
        <f>'FIM interventions data'!AE45*'Assumptions data'!$P44*'Local food sourcing'!$L44</f>
        <v>104845521.67865834</v>
      </c>
      <c r="AV44" s="234">
        <f>'FIM interventions data'!AF45*'Assumptions data'!$L45*'Local food sourcing'!$I44</f>
        <v>33320210.076866079</v>
      </c>
      <c r="AW44" s="234">
        <f>'FIM interventions data'!AG45*'Assumptions data'!$N45*'Local food sourcing'!$I44</f>
        <v>76928865.341742963</v>
      </c>
      <c r="AX44" s="234">
        <f>'FIM interventions data'!AH45*'Assumptions data'!$R44*'Local food sourcing'!$K44</f>
        <v>4762127.227654607</v>
      </c>
      <c r="AY44" s="235">
        <f>'FIM interventions data'!AI45*'Assumptions data'!$P44*'Local food sourcing'!$L44</f>
        <v>57352664.561745383</v>
      </c>
      <c r="AZ44" s="234">
        <f>'FIM interventions data'!AJ45*'Assumptions data'!$L45*'Local food sourcing'!$I44</f>
        <v>10818498.289572584</v>
      </c>
      <c r="BA44" s="234">
        <f>'FIM interventions data'!AK45*'Assumptions data'!$N45*'Local food sourcing'!$I44</f>
        <v>24977477.518853724</v>
      </c>
      <c r="BB44" s="234">
        <f>'FIM interventions data'!AL45*'Assumptions data'!$R44*'Local food sourcing'!$K44</f>
        <v>1546180.6857837788</v>
      </c>
      <c r="BC44" s="235">
        <f>'FIM interventions data'!AM45*'Assumptions data'!$P44*'Local food sourcing'!$L44</f>
        <v>18621422.314934891</v>
      </c>
      <c r="BD44" s="234">
        <f>'FIM interventions data'!AN45*'Assumptions data'!$L45*'Local food sourcing'!$I44</f>
        <v>17293369.708886094</v>
      </c>
      <c r="BE44" s="234">
        <f>'FIM interventions data'!AO45*'Assumptions data'!$N45*'Local food sourcing'!$I44</f>
        <v>39926498.259491205</v>
      </c>
      <c r="BF44" s="234">
        <f>'FIM interventions data'!AP45*'Assumptions data'!$R44*'Local food sourcing'!$K44</f>
        <v>2471569.8538095648</v>
      </c>
      <c r="BG44" s="235">
        <f>'FIM interventions data'!AQ45*'Assumptions data'!$P44*'Local food sourcing'!$L44</f>
        <v>29766343.90263357</v>
      </c>
      <c r="BH44" s="234">
        <f>'FIM interventions data'!AR45*'Assumptions data'!$L45*'Local food sourcing'!$I44</f>
        <v>701507.56777118158</v>
      </c>
      <c r="BI44" s="234">
        <f>'FIM interventions data'!AS45*'Assumptions data'!$N45*'Local food sourcing'!$I44</f>
        <v>1619623.0783896248</v>
      </c>
      <c r="BJ44" s="234">
        <f>'FIM interventions data'!AT45*'Assumptions data'!$R44*'Local food sourcing'!$K44</f>
        <v>100259.52060873405</v>
      </c>
      <c r="BK44" s="235">
        <f>'FIM interventions data'!AU45*'Assumptions data'!$P44*'Local food sourcing'!$L44</f>
        <v>1207475.2268695948</v>
      </c>
      <c r="BL44" s="118">
        <f>'FIM interventions data'!AB45*'Assumptions data'!$S45*'Assumptions data'!$W45+AR44</f>
        <v>775868666.36991382</v>
      </c>
      <c r="BM44" s="118">
        <f>'FIM interventions data'!AC45*'Assumptions data'!$T45*'Assumptions data'!$X45+AS44</f>
        <v>691442989.5448519</v>
      </c>
      <c r="BN44" s="234">
        <f>'FIM interventions data'!AD45*'Assumptions data'!$U44*'Assumptions data'!$Z45+AT44</f>
        <v>49815213.838974521</v>
      </c>
      <c r="BO44" s="235">
        <f>'FIM interventions data'!AE45*'Assumptions data'!$V45*'Assumptions data'!$Y45+AU44</f>
        <v>515490481.58673692</v>
      </c>
      <c r="BP44" s="234">
        <f>'FIM interventions data'!AF45*'Assumptions data'!$S45*'Assumptions data'!$W45+AV44</f>
        <v>424416175.85408175</v>
      </c>
      <c r="BQ44" s="234">
        <f>'FIM interventions data'!AG45*'Assumptions data'!$T45*'Assumptions data'!$X45+AW44</f>
        <v>378233587.93023634</v>
      </c>
      <c r="BR44" s="234">
        <f>'FIM interventions data'!AH45*'Assumptions data'!$U44*'Assumptions data'!$Z45+AX44</f>
        <v>27249950.247134697</v>
      </c>
      <c r="BS44" s="235">
        <f>'FIM interventions data'!AI45*'Assumptions data'!$V45*'Assumptions data'!$Y45+AY44</f>
        <v>281983934.09524816</v>
      </c>
      <c r="BT44" s="234">
        <f>'FIM interventions data'!AJ45*'Assumptions data'!$S45*'Assumptions data'!$W45+AZ44</f>
        <v>137800621.96343082</v>
      </c>
      <c r="BU44" s="234">
        <f>'FIM interventions data'!AK45*'Assumptions data'!$T45*'Assumptions data'!$X45+BA44</f>
        <v>122805931.13436416</v>
      </c>
      <c r="BV44" s="234">
        <f>'FIM interventions data'!AL45*'Assumptions data'!$U44*'Assumptions data'!$Z45+BB44</f>
        <v>8847589.4797627348</v>
      </c>
      <c r="BW44" s="235">
        <f>'FIM interventions data'!AM45*'Assumptions data'!$V45*'Assumptions data'!$Y45+BC44</f>
        <v>91555326.38176322</v>
      </c>
      <c r="BX44" s="234">
        <f>'FIM interventions data'!AN45*'Assumptions data'!$S45*'Assumptions data'!$W45+BD44</f>
        <v>220274296.66693664</v>
      </c>
      <c r="BY44" s="234">
        <f>'FIM interventions data'!AO45*'Assumptions data'!$T45*'Assumptions data'!$X45+BE44</f>
        <v>196305283.1091651</v>
      </c>
      <c r="BZ44" s="234">
        <f>'FIM interventions data'!AP45*'Assumptions data'!$U44*'Assumptions data'!$Z45+BF44</f>
        <v>14142871.941243622</v>
      </c>
      <c r="CA44" s="235">
        <f>'FIM interventions data'!AQ45*'Assumptions data'!$V45*'Assumptions data'!$Y45+BG44</f>
        <v>146351190.85461506</v>
      </c>
      <c r="CB44" s="234">
        <f>'FIM interventions data'!AR45*'Assumptions data'!$S45*'Assumptions data'!$W45+BH44</f>
        <v>8935452.6444854271</v>
      </c>
      <c r="CC44" s="234">
        <f>'FIM interventions data'!AS45*'Assumptions data'!$T45*'Assumptions data'!$X45+BI44</f>
        <v>7963146.8020823225</v>
      </c>
      <c r="CD44" s="234">
        <f>'FIM interventions data'!AT45*'Assumptions data'!$U44*'Assumptions data'!$Z45+BJ44</f>
        <v>573707.25681664492</v>
      </c>
      <c r="CE44" s="234">
        <f>'FIM interventions data'!AU45*'Assumptions data'!$V45*'Assumptions data'!$Y45+BK44</f>
        <v>5936753.1987755094</v>
      </c>
      <c r="CF44" s="247">
        <f>'FIM interventions data'!AV45*'Assumptions data'!$L45*'Local food sourcing'!$I44</f>
        <v>77971201.468451291</v>
      </c>
      <c r="CG44" s="234">
        <f>'FIM interventions data'!AW45*'Assumptions data'!$N45*'Local food sourcing'!$I44</f>
        <v>180017954.40254208</v>
      </c>
      <c r="CH44" s="234">
        <f>'FIM interventions data'!AX45*'Assumptions data'!$R44*'Local food sourcing'!$K44</f>
        <v>11143650.674148992</v>
      </c>
      <c r="CI44" s="234">
        <f>'FIM interventions data'!AY45*'Assumptions data'!$P44*'Local food sourcing'!$L44</f>
        <v>134208522.4847104</v>
      </c>
      <c r="CJ44" s="247">
        <f>'FIM interventions data'!AV45*'Assumptions data'!$S45*'Assumptions data'!$W45+CF44</f>
        <v>993158178.70439839</v>
      </c>
      <c r="CK44" s="234">
        <f>'FIM interventions data'!AW45*'Assumptions data'!$T45*'Assumptions data'!$X45+CG44</f>
        <v>885088275.81249869</v>
      </c>
      <c r="CL44" s="234">
        <f>'FIM interventions data'!AX45*'Assumptions data'!$U44*'Assumptions data'!$Z45+CH44</f>
        <v>63766445.524297014</v>
      </c>
      <c r="CM44" s="235">
        <f>'FIM interventions data'!AY45*'Assumptions data'!$V45*'Assumptions data'!$Y45+CI44</f>
        <v>659858568.88315952</v>
      </c>
    </row>
    <row r="45" spans="1:91">
      <c r="A45" s="9">
        <v>44</v>
      </c>
      <c r="B45" s="1" t="s">
        <v>528</v>
      </c>
      <c r="C45" s="1" t="s">
        <v>529</v>
      </c>
      <c r="D45" s="78">
        <f>'FIM interventions data'!E46*'Assumptions data'!L46*'Local food sourcing'!I45</f>
        <v>17417474.197631836</v>
      </c>
      <c r="E45" s="118">
        <f>'FIM interventions data'!G46*'Assumptions data'!N46*'Local food sourcing'!I45</f>
        <v>40213027.590518914</v>
      </c>
      <c r="F45" s="118">
        <f>'FIM interventions data'!I46*'Assumptions data'!$R45*'Local food sourcing'!$K45</f>
        <v>2489306.8777829092</v>
      </c>
      <c r="G45" s="178">
        <f>'FIM interventions data'!K46*'Assumptions data'!$P45*'Local food sourcing'!$L45</f>
        <v>29979959.696088105</v>
      </c>
      <c r="H45" s="247">
        <f>'FIM interventions data'!L46*'Assumptions data'!$L46*'Local food sourcing'!$I45</f>
        <v>2343926.0229091374</v>
      </c>
      <c r="I45" s="234">
        <f>'FIM interventions data'!M46*'Assumptions data'!$N46*'Local food sourcing'!$I45</f>
        <v>5411597.6151235485</v>
      </c>
      <c r="J45" s="234">
        <f>'FIM interventions data'!N46*'Assumptions data'!$R45*'Local food sourcing'!$K45</f>
        <v>334994.10440552724</v>
      </c>
      <c r="K45" s="235">
        <f>'FIM interventions data'!O46*'Assumptions data'!$P45*'Local food sourcing'!$L45</f>
        <v>4034500.4620120171</v>
      </c>
      <c r="L45" s="247">
        <f>'FIM interventions data'!P46*'Assumptions data'!$L46*'Local food sourcing'!$I45</f>
        <v>2067356.5806779698</v>
      </c>
      <c r="M45" s="234">
        <f>'FIM interventions data'!Q46*'Assumptions data'!$N46*'Local food sourcing'!$I45</f>
        <v>4773061.0233685561</v>
      </c>
      <c r="N45" s="234">
        <f>'FIM interventions data'!R46*'Assumptions data'!$R45*'Local food sourcing'!$K45</f>
        <v>295466.77645207255</v>
      </c>
      <c r="O45" s="235">
        <f>'FIM interventions data'!S46*'Assumptions data'!$P45*'Local food sourcing'!$L45</f>
        <v>3558453.2098572049</v>
      </c>
      <c r="P45" s="247">
        <f>'FIM interventions data'!T46*'Assumptions data'!$L46*'Local food sourcing'!$I45</f>
        <v>12141754.248162957</v>
      </c>
      <c r="Q45" s="234">
        <f>'FIM interventions data'!U46*'Assumptions data'!$N46*'Local food sourcing'!$I45</f>
        <v>28032577.688277155</v>
      </c>
      <c r="R45" s="234">
        <f>'FIM interventions data'!V46*'Assumptions data'!$R45*'Local food sourcing'!$K45</f>
        <v>1735300.5387205556</v>
      </c>
      <c r="S45" s="235">
        <f>'FIM interventions data'!W46*'Assumptions data'!$P45*'Local food sourcing'!$L45</f>
        <v>20899086.679814026</v>
      </c>
      <c r="T45" s="247">
        <f>'FIM interventions data'!X46*'Assumptions data'!$L46*'Local food sourcing'!$I45</f>
        <v>199763.49538387792</v>
      </c>
      <c r="U45" s="234">
        <f>'FIM interventions data'!Y46*'Assumptions data'!$N46*'Local food sourcing'!$I45</f>
        <v>461208.94799675373</v>
      </c>
      <c r="V45" s="234">
        <f>'FIM interventions data'!Z46*'Assumptions data'!$R45*'Local food sourcing'!$K45</f>
        <v>28550.21556780336</v>
      </c>
      <c r="W45" s="235">
        <f>'FIM interventions data'!AA46*'Assumptions data'!$P45*'Local food sourcing'!$L45</f>
        <v>343844.43303338566</v>
      </c>
      <c r="X45" s="118">
        <f>'FIM interventions data'!E46*'Assumptions data'!S46+D45</f>
        <v>426292680.98703921</v>
      </c>
      <c r="Y45" s="118">
        <f>'FIM interventions data'!G46*'Assumptions data'!T46+E45</f>
        <v>512716101.77911615</v>
      </c>
      <c r="Z45" s="118">
        <f>'FIM interventions data'!I46*'Assumptions data'!U45+F45</f>
        <v>355141114.56369501</v>
      </c>
      <c r="AA45" s="178">
        <f>'FIM interventions data'!K46*'Assumptions data'!$V46+G45</f>
        <v>382244486.12512338</v>
      </c>
      <c r="AB45" s="234">
        <f>'FIM interventions data'!L46*'Assumptions data'!$S46+H45</f>
        <v>57367589.410701133</v>
      </c>
      <c r="AC45" s="234">
        <f>'FIM interventions data'!M46*'Assumptions data'!$T46+I45</f>
        <v>68997869.592825249</v>
      </c>
      <c r="AD45" s="234">
        <f>'FIM interventions data'!N46*'Assumptions data'!$U45+J45</f>
        <v>47792492.228521883</v>
      </c>
      <c r="AE45" s="235">
        <f>'FIM interventions data'!O46*'Assumptions data'!$V46+K45</f>
        <v>51439880.890653215</v>
      </c>
      <c r="AF45" s="234">
        <f>'FIM interventions data'!P46*'Assumptions data'!$S46+L45</f>
        <v>50598552.312093318</v>
      </c>
      <c r="AG45" s="234">
        <f>'FIM interventions data'!Q46*'Assumptions data'!$T46+M45</f>
        <v>60856528.047949091</v>
      </c>
      <c r="AH45" s="234">
        <f>'FIM interventions data'!R46*'Assumptions data'!$U45+N45</f>
        <v>42153260.107162349</v>
      </c>
      <c r="AI45" s="235">
        <f>'FIM interventions data'!S46*'Assumptions data'!$V46+O45</f>
        <v>45370278.425679356</v>
      </c>
      <c r="AJ45" s="234">
        <f>'FIM interventions data'!T46*'Assumptions data'!$S46+P45</f>
        <v>297169435.22378838</v>
      </c>
      <c r="AK45" s="234">
        <f>'FIM interventions data'!U46*'Assumptions data'!$T46+Q45</f>
        <v>357415365.5255338</v>
      </c>
      <c r="AL45" s="234">
        <f>'FIM interventions data'!V46*'Assumptions data'!$U45+R45</f>
        <v>247569543.52413258</v>
      </c>
      <c r="AM45" s="235">
        <f>'FIM interventions data'!W46*'Assumptions data'!$V46+S45</f>
        <v>266463355.16762888</v>
      </c>
      <c r="AN45" s="234">
        <f>'FIM interventions data'!X46*'Assumptions data'!$S46+T45</f>
        <v>4889211.5495204125</v>
      </c>
      <c r="AO45" s="234">
        <f>'FIM interventions data'!Y46*'Assumptions data'!$T46+U45</f>
        <v>5880414.0869586114</v>
      </c>
      <c r="AP45" s="234">
        <f>'FIM interventions data'!Z46*'Assumptions data'!$U45+V45</f>
        <v>4073164.0876732795</v>
      </c>
      <c r="AQ45" s="235">
        <f>'FIM interventions data'!AA46*'Assumptions data'!$V46+W45</f>
        <v>4384016.5211756676</v>
      </c>
      <c r="AR45" s="118">
        <f>'FIM interventions data'!AB46*'Assumptions data'!$L46*'Local food sourcing'!$I45</f>
        <v>3399743.5443743551</v>
      </c>
      <c r="AS45" s="118">
        <f>'FIM interventions data'!AC46*'Assumptions data'!$N46*'Local food sourcing'!$I45</f>
        <v>7849242.628371615</v>
      </c>
      <c r="AT45" s="118">
        <f>'FIM interventions data'!AD46*'Assumptions data'!$R45*'Local food sourcing'!$K45</f>
        <v>485891.63340685749</v>
      </c>
      <c r="AU45" s="178">
        <f>'FIM interventions data'!AE46*'Assumptions data'!$P45*'Local food sourcing'!$L45</f>
        <v>5851834.3865976259</v>
      </c>
      <c r="AV45" s="234">
        <f>'FIM interventions data'!AF46*'Assumptions data'!$L46*'Local food sourcing'!$I45</f>
        <v>1815943.5382373082</v>
      </c>
      <c r="AW45" s="234">
        <f>'FIM interventions data'!AG46*'Assumptions data'!$N46*'Local food sourcing'!$I45</f>
        <v>4192604.8965176698</v>
      </c>
      <c r="AX45" s="234">
        <f>'FIM interventions data'!AH46*'Assumptions data'!$R45*'Local food sourcing'!$K45</f>
        <v>259534.8032732658</v>
      </c>
      <c r="AY45" s="235">
        <f>'FIM interventions data'!AI46*'Assumptions data'!$P45*'Local food sourcing'!$L45</f>
        <v>3125706.6018291172</v>
      </c>
      <c r="AZ45" s="234">
        <f>'FIM interventions data'!AJ46*'Assumptions data'!$L46*'Local food sourcing'!$I45</f>
        <v>558781.104443733</v>
      </c>
      <c r="BA45" s="234">
        <f>'FIM interventions data'!AK46*'Assumptions data'!$N46*'Local food sourcing'!$I45</f>
        <v>1290099.7994939834</v>
      </c>
      <c r="BB45" s="234">
        <f>'FIM interventions data'!AL46*'Assumptions data'!$R45*'Local food sourcing'!$K45</f>
        <v>79861.042461371268</v>
      </c>
      <c r="BC45" s="235">
        <f>'FIM interventions data'!AM46*'Assumptions data'!$P45*'Local food sourcing'!$L45</f>
        <v>961806.21828832256</v>
      </c>
      <c r="BD45" s="234">
        <f>'FIM interventions data'!AN46*'Assumptions data'!$L46*'Local food sourcing'!$I45</f>
        <v>1535566.2205204298</v>
      </c>
      <c r="BE45" s="234">
        <f>'FIM interventions data'!AO46*'Assumptions data'!$N46*'Local food sourcing'!$I45</f>
        <v>3545276.7773442538</v>
      </c>
      <c r="BF45" s="234">
        <f>'FIM interventions data'!AP46*'Assumptions data'!$R45*'Local food sourcing'!$K45</f>
        <v>219463.25343500939</v>
      </c>
      <c r="BG45" s="235">
        <f>'FIM interventions data'!AQ46*'Assumptions data'!$P45*'Local food sourcing'!$L45</f>
        <v>2643105.0150851454</v>
      </c>
      <c r="BH45" s="234">
        <f>'FIM interventions data'!AR46*'Assumptions data'!$L46*'Local food sourcing'!$I45</f>
        <v>30294.625734171703</v>
      </c>
      <c r="BI45" s="234">
        <f>'FIM interventions data'!AS46*'Assumptions data'!$N46*'Local food sourcing'!$I45</f>
        <v>69943.472094152923</v>
      </c>
      <c r="BJ45" s="234">
        <f>'FIM interventions data'!AT46*'Assumptions data'!$R45*'Local food sourcing'!$K45</f>
        <v>4329.7104588325556</v>
      </c>
      <c r="BK45" s="235">
        <f>'FIM interventions data'!AU46*'Assumptions data'!$P45*'Local food sourcing'!$L45</f>
        <v>52144.85454165499</v>
      </c>
      <c r="BL45" s="118">
        <f>'FIM interventions data'!AB46*'Assumptions data'!$S46*'Assumptions data'!$W46+AR45</f>
        <v>63256478.322515331</v>
      </c>
      <c r="BM45" s="118">
        <f>'FIM interventions data'!AC46*'Assumptions data'!$T46*'Assumptions data'!$X46+AS45</f>
        <v>53963543.070054859</v>
      </c>
      <c r="BN45" s="234">
        <f>'FIM interventions data'!AD46*'Assumptions data'!$U45*'Assumptions data'!$Z46+AT45</f>
        <v>3927624.0367054315</v>
      </c>
      <c r="BO45" s="235">
        <f>'FIM interventions data'!AE46*'Assumptions data'!$V46*'Assumptions data'!$Y46+AU45</f>
        <v>40231361.407858685</v>
      </c>
      <c r="BP45" s="234">
        <f>'FIM interventions data'!AF46*'Assumptions data'!$S46*'Assumptions data'!$W46+AV45</f>
        <v>33787899.458327912</v>
      </c>
      <c r="BQ45" s="234">
        <f>'FIM interventions data'!AG46*'Assumptions data'!$T46*'Assumptions data'!$X46+AW45</f>
        <v>28824158.663558982</v>
      </c>
      <c r="BR45" s="234">
        <f>'FIM interventions data'!AH46*'Assumptions data'!$U45*'Assumptions data'!$Z46+AX45</f>
        <v>2097906.3264588988</v>
      </c>
      <c r="BS45" s="235">
        <f>'FIM interventions data'!AI46*'Assumptions data'!$V46*'Assumptions data'!$Y46+AY45</f>
        <v>21489232.887575179</v>
      </c>
      <c r="BT45" s="234">
        <f>'FIM interventions data'!AJ46*'Assumptions data'!$S46*'Assumptions data'!$W46+AZ45</f>
        <v>10396820.924556207</v>
      </c>
      <c r="BU45" s="234">
        <f>'FIM interventions data'!AK46*'Assumptions data'!$T46*'Assumptions data'!$X46+BA45</f>
        <v>8869436.1215211358</v>
      </c>
      <c r="BV45" s="234">
        <f>'FIM interventions data'!AL46*'Assumptions data'!$U45*'Assumptions data'!$Z46+BB45</f>
        <v>645543.42656275118</v>
      </c>
      <c r="BW45" s="235">
        <f>'FIM interventions data'!AM46*'Assumptions data'!$V46*'Assumptions data'!$Y46+BC45</f>
        <v>6612417.7507322179</v>
      </c>
      <c r="BX45" s="234">
        <f>'FIM interventions data'!AN46*'Assumptions data'!$S46*'Assumptions data'!$W46+BD45</f>
        <v>28571128.990558244</v>
      </c>
      <c r="BY45" s="234">
        <f>'FIM interventions data'!AO46*'Assumptions data'!$T46*'Assumptions data'!$X46+BE45</f>
        <v>24373777.844241746</v>
      </c>
      <c r="BZ45" s="234">
        <f>'FIM interventions data'!AP46*'Assumptions data'!$U45*'Assumptions data'!$Z46+BF45</f>
        <v>1773994.6319329927</v>
      </c>
      <c r="CA45" s="235">
        <f>'FIM interventions data'!AQ46*'Assumptions data'!$V46*'Assumptions data'!$Y46+BG45</f>
        <v>18171346.978710372</v>
      </c>
      <c r="CB45" s="234">
        <f>'FIM interventions data'!AR46*'Assumptions data'!$S46*'Assumptions data'!$W46+BH45</f>
        <v>563669.38006643229</v>
      </c>
      <c r="CC45" s="234">
        <f>'FIM interventions data'!AS46*'Assumptions data'!$T46*'Assumptions data'!$X46+BI45</f>
        <v>480861.37064730143</v>
      </c>
      <c r="CD45" s="234">
        <f>'FIM interventions data'!AT46*'Assumptions data'!$U45*'Assumptions data'!$Z46+BJ45</f>
        <v>34998.492875563155</v>
      </c>
      <c r="CE45" s="234">
        <f>'FIM interventions data'!AU46*'Assumptions data'!$V46*'Assumptions data'!$Y46+BK45</f>
        <v>358495.87497387809</v>
      </c>
      <c r="CF45" s="247">
        <f>'FIM interventions data'!AV46*'Assumptions data'!$L46*'Local food sourcing'!$I45</f>
        <v>4063846.5631817412</v>
      </c>
      <c r="CG45" s="234">
        <f>'FIM interventions data'!AW46*'Assumptions data'!$N46*'Local food sourcing'!$I45</f>
        <v>9382507.0222341474</v>
      </c>
      <c r="CH45" s="234">
        <f>'FIM interventions data'!AX46*'Assumptions data'!$R45*'Local food sourcing'!$K45</f>
        <v>580805.29273057217</v>
      </c>
      <c r="CI45" s="234">
        <f>'FIM interventions data'!AY46*'Assumptions data'!$P45*'Local food sourcing'!$L45</f>
        <v>6994926.7495880593</v>
      </c>
      <c r="CJ45" s="247">
        <f>'FIM interventions data'!AV46*'Assumptions data'!$S46*'Assumptions data'!$W46+CF45</f>
        <v>75612945.116200283</v>
      </c>
      <c r="CK45" s="234">
        <f>'FIM interventions data'!AW46*'Assumptions data'!$T46*'Assumptions data'!$X46+CG45</f>
        <v>64504735.77785977</v>
      </c>
      <c r="CL45" s="234">
        <f>'FIM interventions data'!AX46*'Assumptions data'!$U45*'Assumptions data'!$Z46+CH45</f>
        <v>4694842.7829054575</v>
      </c>
      <c r="CM45" s="235">
        <f>'FIM interventions data'!AY46*'Assumptions data'!$V46*'Assumptions data'!$Y46+CI45</f>
        <v>48090121.403417908</v>
      </c>
    </row>
    <row r="46" spans="1:91">
      <c r="A46" s="9">
        <v>45</v>
      </c>
      <c r="B46" s="1" t="s">
        <v>533</v>
      </c>
      <c r="C46" s="1" t="s">
        <v>534</v>
      </c>
      <c r="D46" s="78">
        <f>'FIM interventions data'!E47*'Assumptions data'!L47*'Local food sourcing'!I46</f>
        <v>6549919.8100377768</v>
      </c>
      <c r="E46" s="118">
        <f>'FIM interventions data'!G47*'Assumptions data'!N47*'Local food sourcing'!I46</f>
        <v>15122290.582899073</v>
      </c>
      <c r="F46" s="118">
        <f>'FIM interventions data'!I47*'Assumptions data'!$R46*'Local food sourcing'!$K46</f>
        <v>936115.0903424581</v>
      </c>
      <c r="G46" s="178">
        <f>'FIM interventions data'!K47*'Assumptions data'!$P46*'Local food sourcing'!$L46</f>
        <v>11274099.199999992</v>
      </c>
      <c r="H46" s="247">
        <f>'FIM interventions data'!L47*'Assumptions data'!$L47*'Local food sourcing'!$I46</f>
        <v>1806480.8330672272</v>
      </c>
      <c r="I46" s="234">
        <f>'FIM interventions data'!M47*'Assumptions data'!$N47*'Local food sourcing'!$I46</f>
        <v>4170757.6401492842</v>
      </c>
      <c r="J46" s="234">
        <f>'FIM interventions data'!N47*'Assumptions data'!$R46*'Local food sourcing'!$K46</f>
        <v>258182.39265419243</v>
      </c>
      <c r="K46" s="235">
        <f>'FIM interventions data'!O47*'Assumptions data'!$P46*'Local food sourcing'!$L46</f>
        <v>3109418.8487142846</v>
      </c>
      <c r="L46" s="247">
        <f>'FIM interventions data'!P47*'Assumptions data'!$L47*'Local food sourcing'!$I46</f>
        <v>1900491.5212195534</v>
      </c>
      <c r="M46" s="234">
        <f>'FIM interventions data'!Q47*'Assumptions data'!$N47*'Local food sourcing'!$I46</f>
        <v>4387807.1591310417</v>
      </c>
      <c r="N46" s="234">
        <f>'FIM interventions data'!R47*'Assumptions data'!$R46*'Local food sourcing'!$K46</f>
        <v>271618.40811471816</v>
      </c>
      <c r="O46" s="235">
        <f>'FIM interventions data'!S47*'Assumptions data'!$P46*'Local food sourcing'!$L46</f>
        <v>3271235.4594253507</v>
      </c>
      <c r="P46" s="247">
        <f>'FIM interventions data'!T47*'Assumptions data'!$L47*'Local food sourcing'!$I46</f>
        <v>3453886.8184440359</v>
      </c>
      <c r="Q46" s="234">
        <f>'FIM interventions data'!U47*'Assumptions data'!$N47*'Local food sourcing'!$I46</f>
        <v>7974247.261609491</v>
      </c>
      <c r="R46" s="234">
        <f>'FIM interventions data'!V47*'Assumptions data'!$R46*'Local food sourcing'!$K46</f>
        <v>493629.79469235928</v>
      </c>
      <c r="S46" s="235">
        <f>'FIM interventions data'!W47*'Assumptions data'!$P46*'Local food sourcing'!$L46</f>
        <v>5945028.9081456475</v>
      </c>
      <c r="T46" s="247">
        <f>'FIM interventions data'!X47*'Assumptions data'!$L47*'Local food sourcing'!$I46</f>
        <v>22269.485570451419</v>
      </c>
      <c r="U46" s="234">
        <f>'FIM interventions data'!Y47*'Assumptions data'!$N47*'Local food sourcing'!$I46</f>
        <v>51415.229757767374</v>
      </c>
      <c r="V46" s="234">
        <f>'FIM interventions data'!Z47*'Assumptions data'!$R46*'Local food sourcing'!$K46</f>
        <v>3182.7567514208954</v>
      </c>
      <c r="W46" s="235">
        <f>'FIM interventions data'!AA47*'Assumptions data'!$P46*'Local food sourcing'!$L46</f>
        <v>38331.521108010282</v>
      </c>
      <c r="X46" s="118">
        <f>'FIM interventions data'!E47*'Assumptions data'!S47+D46</f>
        <v>83429603.580356181</v>
      </c>
      <c r="Y46" s="118">
        <f>'FIM interventions data'!G47*'Assumptions data'!T47+E46</f>
        <v>103965747.75743115</v>
      </c>
      <c r="Z46" s="118">
        <f>'FIM interventions data'!I47*'Assumptions data'!U46+F46</f>
        <v>67244267.322933242</v>
      </c>
      <c r="AA46" s="178">
        <f>'FIM interventions data'!K47*'Assumptions data'!$V47+G46</f>
        <v>77509431.999999955</v>
      </c>
      <c r="AB46" s="234">
        <f>'FIM interventions data'!L47*'Assumptions data'!$S47+H46</f>
        <v>23010049.611193806</v>
      </c>
      <c r="AC46" s="234">
        <f>'FIM interventions data'!M47*'Assumptions data'!$T47+I46</f>
        <v>28673958.776026331</v>
      </c>
      <c r="AD46" s="234">
        <f>'FIM interventions data'!N47*'Assumptions data'!$U46+J46</f>
        <v>18546101.872326154</v>
      </c>
      <c r="AE46" s="235">
        <f>'FIM interventions data'!O47*'Assumptions data'!$V47+K46</f>
        <v>21377254.584910706</v>
      </c>
      <c r="AF46" s="234">
        <f>'FIM interventions data'!P47*'Assumptions data'!$S47+L46</f>
        <v>24207510.75153406</v>
      </c>
      <c r="AG46" s="234">
        <f>'FIM interventions data'!Q47*'Assumptions data'!$T47+M46</f>
        <v>30166174.21902591</v>
      </c>
      <c r="AH46" s="234">
        <f>'FIM interventions data'!R47*'Assumptions data'!$U46+N46</f>
        <v>19511255.649573918</v>
      </c>
      <c r="AI46" s="235">
        <f>'FIM interventions data'!S47*'Assumptions data'!$V47+O46</f>
        <v>22489743.783549286</v>
      </c>
      <c r="AJ46" s="234">
        <f>'FIM interventions data'!T47*'Assumptions data'!$S47+P46</f>
        <v>43993883.349930912</v>
      </c>
      <c r="AK46" s="234">
        <f>'FIM interventions data'!U47*'Assumptions data'!$T47+Q46</f>
        <v>54822949.923565254</v>
      </c>
      <c r="AL46" s="234">
        <f>'FIM interventions data'!V47*'Assumptions data'!$U46+R46</f>
        <v>35459073.58540114</v>
      </c>
      <c r="AM46" s="235">
        <f>'FIM interventions data'!W47*'Assumptions data'!$V47+S46</f>
        <v>40872073.74350132</v>
      </c>
      <c r="AN46" s="234">
        <f>'FIM interventions data'!X47*'Assumptions data'!$S47+T46</f>
        <v>283657.57245362492</v>
      </c>
      <c r="AO46" s="234">
        <f>'FIM interventions data'!Y47*'Assumptions data'!$T47+U46</f>
        <v>353479.7045846507</v>
      </c>
      <c r="AP46" s="234">
        <f>'FIM interventions data'!Z47*'Assumptions data'!$U46+V46</f>
        <v>228628.02664373434</v>
      </c>
      <c r="AQ46" s="235">
        <f>'FIM interventions data'!AA47*'Assumptions data'!$V47+W46</f>
        <v>263529.2076175707</v>
      </c>
      <c r="AR46" s="118">
        <f>'FIM interventions data'!AB47*'Assumptions data'!$L47*'Local food sourcing'!$I46</f>
        <v>1696536.9960890738</v>
      </c>
      <c r="AS46" s="118">
        <f>'FIM interventions data'!AC47*'Assumptions data'!$N47*'Local food sourcing'!$I46</f>
        <v>3916922.0667679776</v>
      </c>
      <c r="AT46" s="118">
        <f>'FIM interventions data'!AD47*'Assumptions data'!$R46*'Local food sourcing'!$K46</f>
        <v>242469.21022290905</v>
      </c>
      <c r="AU46" s="178">
        <f>'FIM interventions data'!AE47*'Assumptions data'!$P46*'Local food sourcing'!$L46</f>
        <v>2920177.1846223418</v>
      </c>
      <c r="AV46" s="234">
        <f>'FIM interventions data'!AF47*'Assumptions data'!$L47*'Local food sourcing'!$I46</f>
        <v>1437356.973211562</v>
      </c>
      <c r="AW46" s="234">
        <f>'FIM interventions data'!AG47*'Assumptions data'!$N47*'Local food sourcing'!$I46</f>
        <v>3318533.7302833567</v>
      </c>
      <c r="AX46" s="234">
        <f>'FIM interventions data'!AH47*'Assumptions data'!$R46*'Local food sourcing'!$K46</f>
        <v>205427.1795465757</v>
      </c>
      <c r="AY46" s="235">
        <f>'FIM interventions data'!AI47*'Assumptions data'!$P46*'Local food sourcing'!$L46</f>
        <v>2474061.6025504316</v>
      </c>
      <c r="AZ46" s="234">
        <f>'FIM interventions data'!AJ47*'Assumptions data'!$L47*'Local food sourcing'!$I46</f>
        <v>385718.75841804314</v>
      </c>
      <c r="BA46" s="234">
        <f>'FIM interventions data'!AK47*'Assumptions data'!$N47*'Local food sourcing'!$I46</f>
        <v>890537.79546028608</v>
      </c>
      <c r="BB46" s="234">
        <f>'FIM interventions data'!AL47*'Assumptions data'!$R46*'Local food sourcing'!$K46</f>
        <v>55126.957406399873</v>
      </c>
      <c r="BC46" s="235">
        <f>'FIM interventions data'!AM47*'Assumptions data'!$P46*'Local food sourcing'!$L46</f>
        <v>663921.34130276786</v>
      </c>
      <c r="BD46" s="234">
        <f>'FIM interventions data'!AN47*'Assumptions data'!$L47*'Local food sourcing'!$I46</f>
        <v>284614.29282828391</v>
      </c>
      <c r="BE46" s="234">
        <f>'FIM interventions data'!AO47*'Assumptions data'!$N47*'Local food sourcing'!$I46</f>
        <v>657110.34104565845</v>
      </c>
      <c r="BF46" s="234">
        <f>'FIM interventions data'!AP47*'Assumptions data'!$R46*'Local food sourcing'!$K46</f>
        <v>40677.098677665679</v>
      </c>
      <c r="BG46" s="235">
        <f>'FIM interventions data'!AQ47*'Assumptions data'!$P46*'Local food sourcing'!$L46</f>
        <v>489894.51232158113</v>
      </c>
      <c r="BH46" s="234">
        <f>'FIM interventions data'!AR47*'Assumptions data'!$L47*'Local food sourcing'!$I46</f>
        <v>6044.6479973807582</v>
      </c>
      <c r="BI46" s="234">
        <f>'FIM interventions data'!AS47*'Assumptions data'!$N47*'Local food sourcing'!$I46</f>
        <v>13955.731694248572</v>
      </c>
      <c r="BJ46" s="234">
        <f>'FIM interventions data'!AT47*'Assumptions data'!$R46*'Local food sourcing'!$K46</f>
        <v>863.90160036536577</v>
      </c>
      <c r="BK46" s="235">
        <f>'FIM interventions data'!AU47*'Assumptions data'!$P46*'Local food sourcing'!$L46</f>
        <v>10404.396256441943</v>
      </c>
      <c r="BL46" s="118">
        <f>'FIM interventions data'!AB47*'Assumptions data'!$S47*'Assumptions data'!$W47+AR46</f>
        <v>16631364.239785701</v>
      </c>
      <c r="BM46" s="118">
        <f>'FIM interventions data'!AC47*'Assumptions data'!$T47*'Assumptions data'!$X47+AS46</f>
        <v>15422880.637898911</v>
      </c>
      <c r="BN46" s="234">
        <f>'FIM interventions data'!AD47*'Assumptions data'!$U46*'Assumptions data'!$Z47+AT46</f>
        <v>1101214.3297623785</v>
      </c>
      <c r="BO46" s="235">
        <f>'FIM interventions data'!AE47*'Assumptions data'!$V47*'Assumptions data'!$Y47+AU46</f>
        <v>11498197.66445047</v>
      </c>
      <c r="BP46" s="234">
        <f>'FIM interventions data'!AF47*'Assumptions data'!$S47*'Assumptions data'!$W47+AV46</f>
        <v>14090590.078014592</v>
      </c>
      <c r="BQ46" s="234">
        <f>'FIM interventions data'!AG47*'Assumptions data'!$T47*'Assumptions data'!$X47+AW46</f>
        <v>13066726.562990718</v>
      </c>
      <c r="BR46" s="234">
        <f>'FIM interventions data'!AH47*'Assumptions data'!$U46*'Assumptions data'!$Z47+AX46</f>
        <v>932981.77377403132</v>
      </c>
      <c r="BS46" s="235">
        <f>'FIM interventions data'!AI47*'Assumptions data'!$V47*'Assumptions data'!$Y47+AY46</f>
        <v>9741617.5600423254</v>
      </c>
      <c r="BT46" s="234">
        <f>'FIM interventions data'!AJ47*'Assumptions data'!$S47*'Assumptions data'!$W47+AZ46</f>
        <v>3781249.2036168794</v>
      </c>
      <c r="BU46" s="234">
        <f>'FIM interventions data'!AK47*'Assumptions data'!$T47*'Assumptions data'!$X47+BA46</f>
        <v>3506492.5696248761</v>
      </c>
      <c r="BV46" s="234">
        <f>'FIM interventions data'!AL47*'Assumptions data'!$U46*'Assumptions data'!$Z47+BB46</f>
        <v>250368.26488739945</v>
      </c>
      <c r="BW46" s="235">
        <f>'FIM interventions data'!AM47*'Assumptions data'!$V47*'Assumptions data'!$Y47+BC46</f>
        <v>2614190.2813796485</v>
      </c>
      <c r="BX46" s="234">
        <f>'FIM interventions data'!AN47*'Assumptions data'!$S47*'Assumptions data'!$W47+BD46</f>
        <v>2790109.4893822712</v>
      </c>
      <c r="BY46" s="234">
        <f>'FIM interventions data'!AO47*'Assumptions data'!$T47*'Assumptions data'!$X47+BE46</f>
        <v>2587371.9678672804</v>
      </c>
      <c r="BZ46" s="234">
        <f>'FIM interventions data'!AP47*'Assumptions data'!$U46*'Assumptions data'!$Z47+BF46</f>
        <v>184741.82316106494</v>
      </c>
      <c r="CA46" s="235">
        <f>'FIM interventions data'!AQ47*'Assumptions data'!$V47*'Assumptions data'!$Y47+BG46</f>
        <v>1928959.6422662258</v>
      </c>
      <c r="CB46" s="234">
        <f>'FIM interventions data'!AR47*'Assumptions data'!$S47*'Assumptions data'!$W47+BH46</f>
        <v>59256.439899323246</v>
      </c>
      <c r="CC46" s="234">
        <f>'FIM interventions data'!AS47*'Assumptions data'!$T47*'Assumptions data'!$X47+BI46</f>
        <v>54950.693546103757</v>
      </c>
      <c r="CD46" s="234">
        <f>'FIM interventions data'!AT47*'Assumptions data'!$U46*'Assumptions data'!$Z47+BJ46</f>
        <v>3923.5531016593695</v>
      </c>
      <c r="CE46" s="234">
        <f>'FIM interventions data'!AU47*'Assumptions data'!$V47*'Assumptions data'!$Y47+BK46</f>
        <v>40967.310259740152</v>
      </c>
      <c r="CF46" s="247">
        <f>'FIM interventions data'!AV47*'Assumptions data'!$L47*'Local food sourcing'!$I46</f>
        <v>1172903.4974117654</v>
      </c>
      <c r="CG46" s="234">
        <f>'FIM interventions data'!AW47*'Assumptions data'!$N47*'Local food sourcing'!$I46</f>
        <v>2707970.1779519999</v>
      </c>
      <c r="CH46" s="234">
        <f>'FIM interventions data'!AX47*'Assumptions data'!$R46*'Local food sourcing'!$K46</f>
        <v>167631.46653489603</v>
      </c>
      <c r="CI46" s="234">
        <f>'FIM interventions data'!AY47*'Assumptions data'!$P46*'Local food sourcing'!$L46</f>
        <v>2018869.0495999996</v>
      </c>
      <c r="CJ46" s="247">
        <f>'FIM interventions data'!AV47*'Assumptions data'!$S47*'Assumptions data'!$W47+CF46</f>
        <v>11498119.598064713</v>
      </c>
      <c r="CK46" s="234">
        <f>'FIM interventions data'!AW47*'Assumptions data'!$T47*'Assumptions data'!$X47+CG46</f>
        <v>10662632.575686</v>
      </c>
      <c r="CL46" s="234">
        <f>'FIM interventions data'!AX47*'Assumptions data'!$U46*'Assumptions data'!$Z47+CH46</f>
        <v>761326.2438459862</v>
      </c>
      <c r="CM46" s="235">
        <f>'FIM interventions data'!AY47*'Assumptions data'!$V47*'Assumptions data'!$Y47+CI46</f>
        <v>7949296.8827999989</v>
      </c>
    </row>
    <row r="47" spans="1:91">
      <c r="A47" s="9">
        <v>46</v>
      </c>
      <c r="B47" s="1" t="s">
        <v>538</v>
      </c>
      <c r="C47" s="1" t="s">
        <v>539</v>
      </c>
      <c r="D47" s="78">
        <f>'FIM interventions data'!E48*'Assumptions data'!L48*'Local food sourcing'!I47</f>
        <v>107385373.10859905</v>
      </c>
      <c r="E47" s="118">
        <f>'FIM interventions data'!G48*'Assumptions data'!N48*'Local food sourcing'!I47</f>
        <v>247928656.16654092</v>
      </c>
      <c r="F47" s="118">
        <f>'FIM interventions data'!I48*'Assumptions data'!$R47*'Local food sourcing'!$K47</f>
        <v>15347526.55978471</v>
      </c>
      <c r="G47" s="178">
        <f>'FIM interventions data'!K48*'Assumptions data'!$P47*'Local food sourcing'!$L47</f>
        <v>184837888.73262173</v>
      </c>
      <c r="H47" s="247">
        <f>'FIM interventions data'!L48*'Assumptions data'!$L48*'Local food sourcing'!$I47</f>
        <v>27176115.111351833</v>
      </c>
      <c r="I47" s="234">
        <f>'FIM interventions data'!M48*'Assumptions data'!$N48*'Local food sourcing'!$I47</f>
        <v>62743532.981636122</v>
      </c>
      <c r="J47" s="234">
        <f>'FIM interventions data'!N48*'Assumptions data'!$R47*'Local food sourcing'!$K47</f>
        <v>3884012.6582364142</v>
      </c>
      <c r="K47" s="235">
        <f>'FIM interventions data'!O48*'Assumptions data'!$P47*'Local food sourcing'!$L47</f>
        <v>46777094.45640257</v>
      </c>
      <c r="L47" s="247">
        <f>'FIM interventions data'!P48*'Assumptions data'!$L48*'Local food sourcing'!$I47</f>
        <v>22291954.605228294</v>
      </c>
      <c r="M47" s="234">
        <f>'FIM interventions data'!Q48*'Assumptions data'!$N48*'Local food sourcing'!$I47</f>
        <v>51467105.70172815</v>
      </c>
      <c r="N47" s="234">
        <f>'FIM interventions data'!R48*'Assumptions data'!$R47*'Local food sourcing'!$K47</f>
        <v>3185968.027761688</v>
      </c>
      <c r="O47" s="235">
        <f>'FIM interventions data'!S48*'Assumptions data'!$P47*'Local food sourcing'!$L47</f>
        <v>38370196.10470482</v>
      </c>
      <c r="P47" s="247">
        <f>'FIM interventions data'!T48*'Assumptions data'!$L48*'Local food sourcing'!$I47</f>
        <v>62710627.321869798</v>
      </c>
      <c r="Q47" s="234">
        <f>'FIM interventions data'!U48*'Assumptions data'!$N48*'Local food sourcing'!$I47</f>
        <v>144784723.55400264</v>
      </c>
      <c r="R47" s="234">
        <f>'FIM interventions data'!V48*'Assumptions data'!$R47*'Local food sourcing'!$K47</f>
        <v>8962608.1331377104</v>
      </c>
      <c r="S47" s="235">
        <f>'FIM interventions data'!W48*'Assumptions data'!$P47*'Local food sourcing'!$L47</f>
        <v>107941143.3766717</v>
      </c>
      <c r="T47" s="247">
        <f>'FIM interventions data'!X48*'Assumptions data'!$L48*'Local food sourcing'!$I47</f>
        <v>4049354.0835775263</v>
      </c>
      <c r="U47" s="234">
        <f>'FIM interventions data'!Y48*'Assumptions data'!$N48*'Local food sourcing'!$I47</f>
        <v>9349047.1488009188</v>
      </c>
      <c r="V47" s="234">
        <f>'FIM interventions data'!Z48*'Assumptions data'!$R47*'Local food sourcing'!$K47</f>
        <v>578734.02632618125</v>
      </c>
      <c r="W47" s="235">
        <f>'FIM interventions data'!AA48*'Assumptions data'!$P47*'Local food sourcing'!$L47</f>
        <v>6969981.459042443</v>
      </c>
      <c r="X47" s="118">
        <f>'FIM interventions data'!E48*'Assumptions data'!S48+D47</f>
        <v>1115734026.5983441</v>
      </c>
      <c r="Y47" s="118">
        <f>'FIM interventions data'!G48*'Assumptions data'!T48+E47</f>
        <v>1413193340.1492834</v>
      </c>
      <c r="Z47" s="118">
        <f>'FIM interventions data'!I48*'Assumptions data'!U47+F47</f>
        <v>885040698.28091836</v>
      </c>
      <c r="AA47" s="178">
        <f>'FIM interventions data'!K48*'Assumptions data'!$V48+G47</f>
        <v>1053575965.775944</v>
      </c>
      <c r="AB47" s="234">
        <f>'FIM interventions data'!L48*'Assumptions data'!$S48+H47</f>
        <v>282359836.00694555</v>
      </c>
      <c r="AC47" s="234">
        <f>'FIM interventions data'!M48*'Assumptions data'!$T48+I47</f>
        <v>357638137.99532592</v>
      </c>
      <c r="AD47" s="234">
        <f>'FIM interventions data'!N48*'Assumptions data'!$U47+J47</f>
        <v>223978063.29163322</v>
      </c>
      <c r="AE47" s="235">
        <f>'FIM interventions data'!O48*'Assumptions data'!$V48+K47</f>
        <v>266629438.40149465</v>
      </c>
      <c r="AF47" s="234">
        <f>'FIM interventions data'!P48*'Assumptions data'!$S48+L47</f>
        <v>231613408.348322</v>
      </c>
      <c r="AG47" s="234">
        <f>'FIM interventions data'!Q48*'Assumptions data'!$T48+M47</f>
        <v>293362502.49985045</v>
      </c>
      <c r="AH47" s="234">
        <f>'FIM interventions data'!R48*'Assumptions data'!$U47+N47</f>
        <v>183724156.26759067</v>
      </c>
      <c r="AI47" s="235">
        <f>'FIM interventions data'!S48*'Assumptions data'!$V48+O47</f>
        <v>218710117.79681751</v>
      </c>
      <c r="AJ47" s="234">
        <f>'FIM interventions data'!T48*'Assumptions data'!$S48+P47</f>
        <v>651563417.87422729</v>
      </c>
      <c r="AK47" s="234">
        <f>'FIM interventions data'!U48*'Assumptions data'!$T48+Q47</f>
        <v>825272924.25781524</v>
      </c>
      <c r="AL47" s="234">
        <f>'FIM interventions data'!V48*'Assumptions data'!$U47+R47</f>
        <v>516843735.67760795</v>
      </c>
      <c r="AM47" s="235">
        <f>'FIM interventions data'!W48*'Assumptions data'!$V48+S47</f>
        <v>615264517.24702883</v>
      </c>
      <c r="AN47" s="234">
        <f>'FIM interventions data'!X48*'Assumptions data'!$S48+T47</f>
        <v>42072788.928370506</v>
      </c>
      <c r="AO47" s="234">
        <f>'FIM interventions data'!Y48*'Assumptions data'!$T48+U47</f>
        <v>53289568.748165242</v>
      </c>
      <c r="AP47" s="234">
        <f>'FIM interventions data'!Z48*'Assumptions data'!$U47+V47</f>
        <v>33373662.184809785</v>
      </c>
      <c r="AQ47" s="235">
        <f>'FIM interventions data'!AA48*'Assumptions data'!$V48+W47</f>
        <v>39728894.316541925</v>
      </c>
      <c r="AR47" s="118">
        <f>'FIM interventions data'!AB48*'Assumptions data'!$L48*'Local food sourcing'!$I47</f>
        <v>24316913.905990411</v>
      </c>
      <c r="AS47" s="118">
        <f>'FIM interventions data'!AC48*'Assumptions data'!$N48*'Local food sourcing'!$I47</f>
        <v>56142280.948567122</v>
      </c>
      <c r="AT47" s="118">
        <f>'FIM interventions data'!AD48*'Assumptions data'!$R47*'Local food sourcing'!$K47</f>
        <v>3475375.3814009987</v>
      </c>
      <c r="AU47" s="178">
        <f>'FIM interventions data'!AE48*'Assumptions data'!$P47*'Local food sourcing'!$L47</f>
        <v>41855672.674626835</v>
      </c>
      <c r="AV47" s="234">
        <f>'FIM interventions data'!AF48*'Assumptions data'!$L48*'Local food sourcing'!$I47</f>
        <v>19579851.393555313</v>
      </c>
      <c r="AW47" s="234">
        <f>'FIM interventions data'!AG48*'Assumptions data'!$N48*'Local food sourcing'!$I47</f>
        <v>45205469.827212587</v>
      </c>
      <c r="AX47" s="234">
        <f>'FIM interventions data'!AH48*'Assumptions data'!$R47*'Local food sourcing'!$K47</f>
        <v>2798354.008560637</v>
      </c>
      <c r="AY47" s="235">
        <f>'FIM interventions data'!AI48*'Assumptions data'!$P47*'Local food sourcing'!$L47</f>
        <v>33701967.861332871</v>
      </c>
      <c r="AZ47" s="234">
        <f>'FIM interventions data'!AJ48*'Assumptions data'!$L48*'Local food sourcing'!$I47</f>
        <v>6257940.337314426</v>
      </c>
      <c r="BA47" s="234">
        <f>'FIM interventions data'!AK48*'Assumptions data'!$N48*'Local food sourcing'!$I47</f>
        <v>14448175.699233236</v>
      </c>
      <c r="BB47" s="234">
        <f>'FIM interventions data'!AL48*'Assumptions data'!$R47*'Local food sourcing'!$K47</f>
        <v>894385.35953450412</v>
      </c>
      <c r="BC47" s="235">
        <f>'FIM interventions data'!AM48*'Assumptions data'!$P47*'Local food sourcing'!$L47</f>
        <v>10771527.315867605</v>
      </c>
      <c r="BD47" s="234">
        <f>'FIM interventions data'!AN48*'Assumptions data'!$L48*'Local food sourcing'!$I47</f>
        <v>6634699.6022210093</v>
      </c>
      <c r="BE47" s="234">
        <f>'FIM interventions data'!AO48*'Assumptions data'!$N48*'Local food sourcing'!$I47</f>
        <v>15318028.040781822</v>
      </c>
      <c r="BF47" s="234">
        <f>'FIM interventions data'!AP48*'Assumptions data'!$R47*'Local food sourcing'!$K47</f>
        <v>948231.8253744198</v>
      </c>
      <c r="BG47" s="235">
        <f>'FIM interventions data'!AQ48*'Assumptions data'!$P47*'Local food sourcing'!$L47</f>
        <v>11420027.060943322</v>
      </c>
      <c r="BH47" s="234">
        <f>'FIM interventions data'!AR48*'Assumptions data'!$L48*'Local food sourcing'!$I47</f>
        <v>724068.00579854031</v>
      </c>
      <c r="BI47" s="234">
        <f>'FIM interventions data'!AS48*'Assumptions data'!$N48*'Local food sourcing'!$I47</f>
        <v>1671710.0518827003</v>
      </c>
      <c r="BJ47" s="234">
        <f>'FIM interventions data'!AT48*'Assumptions data'!$R47*'Local food sourcing'!$K47</f>
        <v>103483.86030977608</v>
      </c>
      <c r="BK47" s="235">
        <f>'FIM interventions data'!AU48*'Assumptions data'!$P47*'Local food sourcing'!$L47</f>
        <v>1246307.5521029672</v>
      </c>
      <c r="BL47" s="118">
        <f>'FIM interventions data'!AB48*'Assumptions data'!$S48*'Assumptions data'!$W48+AR47</f>
        <v>195568780.08892789</v>
      </c>
      <c r="BM47" s="118">
        <f>'FIM interventions data'!AC48*'Assumptions data'!$T48*'Assumptions data'!$X48+AS47</f>
        <v>188076641.17769986</v>
      </c>
      <c r="BN47" s="234">
        <f>'FIM interventions data'!AD48*'Assumptions data'!$U47*'Assumptions data'!$Z48+AT47</f>
        <v>13322272.295370495</v>
      </c>
      <c r="BO47" s="235">
        <f>'FIM interventions data'!AE48*'Assumptions data'!$V48*'Assumptions data'!$Y48+AU47</f>
        <v>140216503.45999992</v>
      </c>
      <c r="BP47" s="234">
        <f>'FIM interventions data'!AF48*'Assumptions data'!$S48*'Assumptions data'!$W48+AV47</f>
        <v>157470954.8326686</v>
      </c>
      <c r="BQ47" s="234">
        <f>'FIM interventions data'!AG48*'Assumptions data'!$T48*'Assumptions data'!$X48+AW47</f>
        <v>151438323.92116219</v>
      </c>
      <c r="BR47" s="234">
        <f>'FIM interventions data'!AH48*'Assumptions data'!$U47*'Assumptions data'!$Z48+AX47</f>
        <v>10727023.699482443</v>
      </c>
      <c r="BS47" s="235">
        <f>'FIM interventions data'!AI48*'Assumptions data'!$V48*'Assumptions data'!$Y48+AY47</f>
        <v>112901592.33546513</v>
      </c>
      <c r="BT47" s="234">
        <f>'FIM interventions data'!AJ48*'Assumptions data'!$S48*'Assumptions data'!$W48+AZ47</f>
        <v>50329485.162851274</v>
      </c>
      <c r="BU47" s="234">
        <f>'FIM interventions data'!AK48*'Assumptions data'!$T48*'Assumptions data'!$X48+BA47</f>
        <v>48401388.592431344</v>
      </c>
      <c r="BV47" s="234">
        <f>'FIM interventions data'!AL48*'Assumptions data'!$U47*'Assumptions data'!$Z48+BB47</f>
        <v>3428477.2115489328</v>
      </c>
      <c r="BW47" s="235">
        <f>'FIM interventions data'!AM48*'Assumptions data'!$V48*'Assumptions data'!$Y48+BC47</f>
        <v>36084616.508156478</v>
      </c>
      <c r="BX47" s="234">
        <f>'FIM interventions data'!AN48*'Assumptions data'!$S48*'Assumptions data'!$W48+BD47</f>
        <v>53359571.550862476</v>
      </c>
      <c r="BY47" s="234">
        <f>'FIM interventions data'!AO48*'Assumptions data'!$T48*'Assumptions data'!$X48+BE47</f>
        <v>51315393.936619103</v>
      </c>
      <c r="BZ47" s="234">
        <f>'FIM interventions data'!AP48*'Assumptions data'!$U47*'Assumptions data'!$Z48+BF47</f>
        <v>3634888.6639352762</v>
      </c>
      <c r="CA47" s="235">
        <f>'FIM interventions data'!AQ48*'Assumptions data'!$V48*'Assumptions data'!$Y48+BG47</f>
        <v>38257090.654160134</v>
      </c>
      <c r="CB47" s="234">
        <f>'FIM interventions data'!AR48*'Assumptions data'!$S48*'Assumptions data'!$W48+BH47</f>
        <v>5823316.9366347603</v>
      </c>
      <c r="CC47" s="234">
        <f>'FIM interventions data'!AS48*'Assumptions data'!$T48*'Assumptions data'!$X48+BI47</f>
        <v>5600228.6738070464</v>
      </c>
      <c r="CD47" s="234">
        <f>'FIM interventions data'!AT48*'Assumptions data'!$U47*'Assumptions data'!$Z48+BJ47</f>
        <v>396688.13118747494</v>
      </c>
      <c r="CE47" s="234">
        <f>'FIM interventions data'!AU48*'Assumptions data'!$V48*'Assumptions data'!$Y48+BK47</f>
        <v>4175130.2995449402</v>
      </c>
      <c r="CF47" s="247">
        <f>'FIM interventions data'!AV48*'Assumptions data'!$L48*'Local food sourcing'!$I47</f>
        <v>21652796.141352076</v>
      </c>
      <c r="CG47" s="234">
        <f>'FIM interventions data'!AW48*'Assumptions data'!$N48*'Local food sourcing'!$I47</f>
        <v>49991432.670671634</v>
      </c>
      <c r="CH47" s="234">
        <f>'FIM interventions data'!AX48*'Assumptions data'!$R47*'Local food sourcing'!$K47</f>
        <v>3094619.4463275</v>
      </c>
      <c r="CI47" s="234">
        <f>'FIM interventions data'!AY48*'Assumptions data'!$P47*'Local food sourcing'!$L47</f>
        <v>37270039.746268652</v>
      </c>
      <c r="CJ47" s="247">
        <f>'FIM interventions data'!AV48*'Assumptions data'!$S48*'Assumptions data'!$W48+CF47</f>
        <v>174142612.96682408</v>
      </c>
      <c r="CK47" s="234">
        <f>'FIM interventions data'!AW48*'Assumptions data'!$T48*'Assumptions data'!$X48+CG47</f>
        <v>167471299.44674999</v>
      </c>
      <c r="CL47" s="234">
        <f>'FIM interventions data'!AX48*'Assumptions data'!$U47*'Assumptions data'!$Z48+CH47</f>
        <v>11862707.877588751</v>
      </c>
      <c r="CM47" s="235">
        <f>'FIM interventions data'!AY48*'Assumptions data'!$V48*'Assumptions data'!$Y48+CI47</f>
        <v>124854633.15000001</v>
      </c>
    </row>
    <row r="48" spans="1:91">
      <c r="A48" s="9">
        <v>47</v>
      </c>
      <c r="B48" s="1" t="s">
        <v>543</v>
      </c>
      <c r="C48" s="1" t="s">
        <v>544</v>
      </c>
      <c r="D48" s="78">
        <f>'FIM interventions data'!E49*'Assumptions data'!L49*'Local food sourcing'!I48</f>
        <v>99307959.753606603</v>
      </c>
      <c r="E48" s="118">
        <f>'FIM interventions data'!G49*'Assumptions data'!N49*'Local food sourcing'!I48</f>
        <v>229279726.79717797</v>
      </c>
      <c r="F48" s="118">
        <f>'FIM interventions data'!I49*'Assumptions data'!$R48*'Local food sourcing'!$K48</f>
        <v>14193101.96347831</v>
      </c>
      <c r="G48" s="178">
        <f>'FIM interventions data'!K49*'Assumptions data'!$P48*'Local food sourcing'!$L48</f>
        <v>170934579.67164183</v>
      </c>
      <c r="H48" s="247">
        <f>'FIM interventions data'!L49*'Assumptions data'!$L49*'Local food sourcing'!$I48</f>
        <v>26406578.655581236</v>
      </c>
      <c r="I48" s="234">
        <f>'FIM interventions data'!M49*'Assumptions data'!$N49*'Local food sourcing'!$I48</f>
        <v>60966846.5128242</v>
      </c>
      <c r="J48" s="234">
        <f>'FIM interventions data'!N49*'Assumptions data'!$R48*'Local food sourcing'!$K48</f>
        <v>3774030.4432310434</v>
      </c>
      <c r="K48" s="235">
        <f>'FIM interventions data'!O49*'Assumptions data'!$P48*'Local food sourcing'!$L48</f>
        <v>45452523.989588857</v>
      </c>
      <c r="L48" s="247">
        <f>'FIM interventions data'!P49*'Assumptions data'!$L49*'Local food sourcing'!$I48</f>
        <v>13692400.534782391</v>
      </c>
      <c r="M48" s="234">
        <f>'FIM interventions data'!Q49*'Assumptions data'!$N49*'Local food sourcing'!$I48</f>
        <v>31612670.944016911</v>
      </c>
      <c r="N48" s="234">
        <f>'FIM interventions data'!R49*'Assumptions data'!$R48*'Local food sourcing'!$K48</f>
        <v>1956919.036471229</v>
      </c>
      <c r="O48" s="235">
        <f>'FIM interventions data'!S49*'Assumptions data'!$P48*'Local food sourcing'!$L48</f>
        <v>23568148.373159897</v>
      </c>
      <c r="P48" s="247">
        <f>'FIM interventions data'!T49*'Assumptions data'!$L49*'Local food sourcing'!$I48</f>
        <v>61375691.135634162</v>
      </c>
      <c r="Q48" s="234">
        <f>'FIM interventions data'!U49*'Assumptions data'!$N49*'Local food sourcing'!$I48</f>
        <v>141702656.3679364</v>
      </c>
      <c r="R48" s="234">
        <f>'FIM interventions data'!V49*'Assumptions data'!$R48*'Local food sourcing'!$K48</f>
        <v>8771818.9410831314</v>
      </c>
      <c r="S48" s="235">
        <f>'FIM interventions data'!W49*'Assumptions data'!$P48*'Local food sourcing'!$L48</f>
        <v>105643374.33128189</v>
      </c>
      <c r="T48" s="247">
        <f>'FIM interventions data'!X49*'Assumptions data'!$L49*'Local food sourcing'!$I48</f>
        <v>1992453.1572028545</v>
      </c>
      <c r="U48" s="234">
        <f>'FIM interventions data'!Y49*'Assumptions data'!$N49*'Local food sourcing'!$I48</f>
        <v>4600125.8778559715</v>
      </c>
      <c r="V48" s="234">
        <f>'FIM interventions data'!Z49*'Assumptions data'!$R48*'Local food sourcing'!$K48</f>
        <v>284761.57286684535</v>
      </c>
      <c r="W48" s="235">
        <f>'FIM interventions data'!AA49*'Assumptions data'!$P48*'Local food sourcing'!$L48</f>
        <v>3429525.1235340848</v>
      </c>
      <c r="X48" s="118">
        <f>'FIM interventions data'!E49*'Assumptions data'!S49+D48</f>
        <v>1031809701.8399726</v>
      </c>
      <c r="Y48" s="118">
        <f>'FIM interventions data'!G49*'Assumptions data'!T49+E48</f>
        <v>1306894442.7439146</v>
      </c>
      <c r="Z48" s="118">
        <f>'FIM interventions data'!I49*'Assumptions data'!U48+F48</f>
        <v>818468879.89391589</v>
      </c>
      <c r="AA48" s="178">
        <f>'FIM interventions data'!K49*'Assumptions data'!$V49+G48</f>
        <v>974327104.1283586</v>
      </c>
      <c r="AB48" s="234">
        <f>'FIM interventions data'!L49*'Assumptions data'!$S49+H48</f>
        <v>274364352.23148906</v>
      </c>
      <c r="AC48" s="234">
        <f>'FIM interventions data'!M49*'Assumptions data'!$T49+I48</f>
        <v>347511025.12309796</v>
      </c>
      <c r="AD48" s="234">
        <f>'FIM interventions data'!N49*'Assumptions data'!$U48+J48</f>
        <v>217635755.55965686</v>
      </c>
      <c r="AE48" s="235">
        <f>'FIM interventions data'!O49*'Assumptions data'!$V49+K48</f>
        <v>259079386.7406565</v>
      </c>
      <c r="AF48" s="234">
        <f>'FIM interventions data'!P49*'Assumptions data'!$S49+L48</f>
        <v>142264041.55638903</v>
      </c>
      <c r="AG48" s="234">
        <f>'FIM interventions data'!Q49*'Assumptions data'!$T49+M48</f>
        <v>180192224.38089642</v>
      </c>
      <c r="AH48" s="234">
        <f>'FIM interventions data'!R49*'Assumptions data'!$U48+N48</f>
        <v>112848997.76984088</v>
      </c>
      <c r="AI48" s="235">
        <f>'FIM interventions data'!S49*'Assumptions data'!$V49+O48</f>
        <v>134338445.72701141</v>
      </c>
      <c r="AJ48" s="234">
        <f>'FIM interventions data'!T49*'Assumptions data'!$S49+P48</f>
        <v>637693430.89923894</v>
      </c>
      <c r="AK48" s="234">
        <f>'FIM interventions data'!U49*'Assumptions data'!$T49+Q48</f>
        <v>807705141.29723752</v>
      </c>
      <c r="AL48" s="234">
        <f>'FIM interventions data'!V49*'Assumptions data'!$U48+R48</f>
        <v>505841558.93579382</v>
      </c>
      <c r="AM48" s="235">
        <f>'FIM interventions data'!W49*'Assumptions data'!$V49+S48</f>
        <v>602167233.68830681</v>
      </c>
      <c r="AN48" s="234">
        <f>'FIM interventions data'!X49*'Assumptions data'!$S49+T48</f>
        <v>20701588.30333766</v>
      </c>
      <c r="AO48" s="234">
        <f>'FIM interventions data'!Y49*'Assumptions data'!$T49+U48</f>
        <v>26220717.503779043</v>
      </c>
      <c r="AP48" s="234">
        <f>'FIM interventions data'!Z49*'Assumptions data'!$U48+V48</f>
        <v>16421250.701988082</v>
      </c>
      <c r="AQ48" s="235">
        <f>'FIM interventions data'!AA49*'Assumptions data'!$V49+W48</f>
        <v>19548293.204144284</v>
      </c>
      <c r="AR48" s="118">
        <f>'FIM interventions data'!AB49*'Assumptions data'!$L49*'Local food sourcing'!$I48</f>
        <v>21420292.011274252</v>
      </c>
      <c r="AS48" s="118">
        <f>'FIM interventions data'!AC49*'Assumptions data'!$N49*'Local food sourcing'!$I48</f>
        <v>49454632.966441259</v>
      </c>
      <c r="AT48" s="118">
        <f>'FIM interventions data'!AD49*'Assumptions data'!$R48*'Local food sourcing'!$K48</f>
        <v>3061389.9364945344</v>
      </c>
      <c r="AU48" s="178">
        <f>'FIM interventions data'!AE49*'Assumptions data'!$P48*'Local food sourcing'!$L48</f>
        <v>36869840.247201517</v>
      </c>
      <c r="AV48" s="234">
        <f>'FIM interventions data'!AF49*'Assumptions data'!$L49*'Local food sourcing'!$I48</f>
        <v>20962972.097264271</v>
      </c>
      <c r="AW48" s="234">
        <f>'FIM interventions data'!AG49*'Assumptions data'!$N49*'Local food sourcing'!$I48</f>
        <v>48398784.218734905</v>
      </c>
      <c r="AX48" s="234">
        <f>'FIM interventions data'!AH49*'Assumptions data'!$R48*'Local food sourcing'!$K48</f>
        <v>2996029.735906614</v>
      </c>
      <c r="AY48" s="235">
        <f>'FIM interventions data'!AI49*'Assumptions data'!$P48*'Local food sourcing'!$L48</f>
        <v>36082674.873240344</v>
      </c>
      <c r="AZ48" s="234">
        <f>'FIM interventions data'!AJ49*'Assumptions data'!$L49*'Local food sourcing'!$I48</f>
        <v>3369967.3728518533</v>
      </c>
      <c r="BA48" s="234">
        <f>'FIM interventions data'!AK49*'Assumptions data'!$N49*'Local food sourcing'!$I48</f>
        <v>7780496.1503583333</v>
      </c>
      <c r="BB48" s="234">
        <f>'FIM interventions data'!AL49*'Assumptions data'!$R48*'Local food sourcing'!$K48</f>
        <v>481636.02046757808</v>
      </c>
      <c r="BC48" s="235">
        <f>'FIM interventions data'!AM49*'Assumptions data'!$P48*'Local food sourcing'!$L48</f>
        <v>5800581.9253039109</v>
      </c>
      <c r="BD48" s="234">
        <f>'FIM interventions data'!AN49*'Assumptions data'!$L49*'Local food sourcing'!$I48</f>
        <v>4560035.3327760547</v>
      </c>
      <c r="BE48" s="234">
        <f>'FIM interventions data'!AO49*'Assumptions data'!$N49*'Local food sourcing'!$I48</f>
        <v>10528095.208867703</v>
      </c>
      <c r="BF48" s="234">
        <f>'FIM interventions data'!AP49*'Assumptions data'!$R48*'Local food sourcing'!$K48</f>
        <v>651720.63342892111</v>
      </c>
      <c r="BG48" s="235">
        <f>'FIM interventions data'!AQ49*'Assumptions data'!$P48*'Local food sourcing'!$L48</f>
        <v>7848995.4363159919</v>
      </c>
      <c r="BH48" s="234">
        <f>'FIM interventions data'!AR49*'Assumptions data'!$L49*'Local food sourcing'!$I48</f>
        <v>348679.86656680639</v>
      </c>
      <c r="BI48" s="234">
        <f>'FIM interventions data'!AS49*'Assumptions data'!$N49*'Local food sourcing'!$I48</f>
        <v>805023.3309038498</v>
      </c>
      <c r="BJ48" s="234">
        <f>'FIM interventions data'!AT49*'Assumptions data'!$R48*'Local food sourcing'!$K48</f>
        <v>49833.355866672784</v>
      </c>
      <c r="BK48" s="235">
        <f>'FIM interventions data'!AU49*'Assumptions data'!$P48*'Local food sourcing'!$L48</f>
        <v>600167.86750466563</v>
      </c>
      <c r="BL48" s="118">
        <f>'FIM interventions data'!AB49*'Assumptions data'!$S49*'Assumptions data'!$W49+AR48</f>
        <v>172272698.5006732</v>
      </c>
      <c r="BM48" s="118">
        <f>'FIM interventions data'!AC49*'Assumptions data'!$T49*'Assumptions data'!$X49+AS48</f>
        <v>165673020.43757823</v>
      </c>
      <c r="BN48" s="234">
        <f>'FIM interventions data'!AD49*'Assumptions data'!$U48*'Assumptions data'!$Z49+AT48</f>
        <v>11735328.089895714</v>
      </c>
      <c r="BO48" s="235">
        <f>'FIM interventions data'!AE49*'Assumptions data'!$V49*'Assumptions data'!$Y49+AU48</f>
        <v>123513964.82812509</v>
      </c>
      <c r="BP48" s="234">
        <f>'FIM interventions data'!AF49*'Assumptions data'!$S49*'Assumptions data'!$W49+AV48</f>
        <v>168594703.09224787</v>
      </c>
      <c r="BQ48" s="234">
        <f>'FIM interventions data'!AG49*'Assumptions data'!$T49*'Assumptions data'!$X49+AW48</f>
        <v>162135927.13276196</v>
      </c>
      <c r="BR48" s="234">
        <f>'FIM interventions data'!AH49*'Assumptions data'!$U48*'Assumptions data'!$Z49+AX48</f>
        <v>11484780.654308688</v>
      </c>
      <c r="BS48" s="235">
        <f>'FIM interventions data'!AI49*'Assumptions data'!$V49*'Assumptions data'!$Y49+AY48</f>
        <v>120876960.82535517</v>
      </c>
      <c r="BT48" s="234">
        <f>'FIM interventions data'!AJ49*'Assumptions data'!$S49*'Assumptions data'!$W49+AZ48</f>
        <v>27102962.59616103</v>
      </c>
      <c r="BU48" s="234">
        <f>'FIM interventions data'!AK49*'Assumptions data'!$T49*'Assumptions data'!$X49+BA48</f>
        <v>26064662.103700418</v>
      </c>
      <c r="BV48" s="234">
        <f>'FIM interventions data'!AL49*'Assumptions data'!$U48*'Assumptions data'!$Z49+BB48</f>
        <v>1846271.4117923826</v>
      </c>
      <c r="BW48" s="235">
        <f>'FIM interventions data'!AM49*'Assumptions data'!$V49*'Assumptions data'!$Y49+BC48</f>
        <v>19431949.449768104</v>
      </c>
      <c r="BX48" s="234">
        <f>'FIM interventions data'!AN49*'Assumptions data'!$S49*'Assumptions data'!$W49+BD48</f>
        <v>36674084.163851418</v>
      </c>
      <c r="BY48" s="234">
        <f>'FIM interventions data'!AO49*'Assumptions data'!$T49*'Assumptions data'!$X49+BE48</f>
        <v>35269118.949706808</v>
      </c>
      <c r="BZ48" s="234">
        <f>'FIM interventions data'!AP49*'Assumptions data'!$U48*'Assumptions data'!$Z49+BF48</f>
        <v>2498262.4281441974</v>
      </c>
      <c r="CA48" s="235">
        <f>'FIM interventions data'!AQ49*'Assumptions data'!$V49*'Assumptions data'!$Y49+BG48</f>
        <v>26294134.711658575</v>
      </c>
      <c r="CB48" s="234">
        <f>'FIM interventions data'!AR49*'Assumptions data'!$S49*'Assumptions data'!$W49+BH48</f>
        <v>2804257.8268635408</v>
      </c>
      <c r="CC48" s="234">
        <f>'FIM interventions data'!AS49*'Assumptions data'!$T49*'Assumptions data'!$X49+BI48</f>
        <v>2696828.1585278972</v>
      </c>
      <c r="CD48" s="234">
        <f>'FIM interventions data'!AT49*'Assumptions data'!$U48*'Assumptions data'!$Z49+BJ48</f>
        <v>191027.86415557901</v>
      </c>
      <c r="CE48" s="234">
        <f>'FIM interventions data'!AU49*'Assumptions data'!$V49*'Assumptions data'!$Y49+BK48</f>
        <v>2010562.3561406299</v>
      </c>
      <c r="CF48" s="247">
        <f>'FIM interventions data'!AV49*'Assumptions data'!$L49*'Local food sourcing'!$I48</f>
        <v>18578752.000877973</v>
      </c>
      <c r="CG48" s="234">
        <f>'FIM interventions data'!AW49*'Assumptions data'!$N49*'Local food sourcing'!$I48</f>
        <v>42894156.657358199</v>
      </c>
      <c r="CH48" s="234">
        <f>'FIM interventions data'!AX49*'Assumptions data'!$R48*'Local food sourcing'!$K48</f>
        <v>2655276.7991295005</v>
      </c>
      <c r="CI48" s="234">
        <f>'FIM interventions data'!AY49*'Assumptions data'!$P48*'Local food sourcing'!$L48</f>
        <v>31978817.93134328</v>
      </c>
      <c r="CJ48" s="247">
        <f>'FIM interventions data'!AV49*'Assumptions data'!$S49*'Assumptions data'!$W49+CF48</f>
        <v>149419612.9670611</v>
      </c>
      <c r="CK48" s="234">
        <f>'FIM interventions data'!AW49*'Assumptions data'!$T49*'Assumptions data'!$X49+CG48</f>
        <v>143695424.80214998</v>
      </c>
      <c r="CL48" s="234">
        <f>'FIM interventions data'!AX49*'Assumptions data'!$U48*'Assumptions data'!$Z49+CH48</f>
        <v>10178561.063329753</v>
      </c>
      <c r="CM48" s="235">
        <f>'FIM interventions data'!AY49*'Assumptions data'!$V49*'Assumptions data'!$Y49+CI48</f>
        <v>107129040.06999999</v>
      </c>
    </row>
    <row r="49" spans="1:91">
      <c r="A49" s="9">
        <v>48</v>
      </c>
      <c r="B49" s="1" t="s">
        <v>548</v>
      </c>
      <c r="C49" s="1" t="s">
        <v>549</v>
      </c>
      <c r="D49" s="78">
        <f>'FIM interventions data'!E50*'Assumptions data'!L50*'Local food sourcing'!I49</f>
        <v>11073250.105159301</v>
      </c>
      <c r="E49" s="118">
        <f>'FIM interventions data'!G50*'Assumptions data'!N50*'Local food sourcing'!I49</f>
        <v>25565642.121406507</v>
      </c>
      <c r="F49" s="118">
        <f>'FIM interventions data'!I50*'Assumptions data'!$R49*'Local food sourcing'!$K49</f>
        <v>1582589.8367015354</v>
      </c>
      <c r="G49" s="178">
        <f>'FIM interventions data'!K50*'Assumptions data'!$P49*'Local food sourcing'!$L49</f>
        <v>19059915.811588582</v>
      </c>
      <c r="H49" s="247">
        <f>'FIM interventions data'!L50*'Assumptions data'!$L50*'Local food sourcing'!$I49</f>
        <v>2559865.3733149637</v>
      </c>
      <c r="I49" s="234">
        <f>'FIM interventions data'!M50*'Assumptions data'!$N50*'Local food sourcing'!$I49</f>
        <v>5910152.9714982919</v>
      </c>
      <c r="J49" s="234">
        <f>'FIM interventions data'!N50*'Assumptions data'!$R49*'Local food sourcing'!$K49</f>
        <v>365856.17453405843</v>
      </c>
      <c r="K49" s="235">
        <f>'FIM interventions data'!O50*'Assumptions data'!$P49*'Local food sourcing'!$L49</f>
        <v>4406187.7083089752</v>
      </c>
      <c r="L49" s="247">
        <f>'FIM interventions data'!P50*'Assumptions data'!$L50*'Local food sourcing'!$I49</f>
        <v>2472954.9359698785</v>
      </c>
      <c r="M49" s="234">
        <f>'FIM interventions data'!Q50*'Assumptions data'!$N50*'Local food sourcing'!$I49</f>
        <v>5709496.3335032612</v>
      </c>
      <c r="N49" s="234">
        <f>'FIM interventions data'!R50*'Assumptions data'!$R49*'Local food sourcing'!$K49</f>
        <v>353434.92751629866</v>
      </c>
      <c r="O49" s="235">
        <f>'FIM interventions data'!S50*'Assumptions data'!$P49*'Local food sourcing'!$L49</f>
        <v>4256592.4582049549</v>
      </c>
      <c r="P49" s="247">
        <f>'FIM interventions data'!T50*'Assumptions data'!$L50*'Local food sourcing'!$I49</f>
        <v>4673188.8926099353</v>
      </c>
      <c r="Q49" s="234">
        <f>'FIM interventions data'!U50*'Assumptions data'!$N50*'Local food sourcing'!$I49</f>
        <v>10789341.309877224</v>
      </c>
      <c r="R49" s="234">
        <f>'FIM interventions data'!V50*'Assumptions data'!$R49*'Local food sourcing'!$K49</f>
        <v>667892.549720802</v>
      </c>
      <c r="S49" s="235">
        <f>'FIM interventions data'!W50*'Assumptions data'!$P49*'Local food sourcing'!$L49</f>
        <v>8043761.8602415612</v>
      </c>
      <c r="T49" s="247">
        <f>'FIM interventions data'!X50*'Assumptions data'!$L50*'Local food sourcing'!$I49</f>
        <v>119885.28909465545</v>
      </c>
      <c r="U49" s="234">
        <f>'FIM interventions data'!Y50*'Assumptions data'!$N50*'Local food sourcing'!$I49</f>
        <v>276788.1486924318</v>
      </c>
      <c r="V49" s="234">
        <f>'FIM interventions data'!Z50*'Assumptions data'!$R49*'Local food sourcing'!$K49</f>
        <v>17134.01560421972</v>
      </c>
      <c r="W49" s="235">
        <f>'FIM interventions data'!AA50*'Assumptions data'!$P49*'Local food sourcing'!$L49</f>
        <v>206353.46402294774</v>
      </c>
      <c r="X49" s="118">
        <f>'FIM interventions data'!E50*'Assumptions data'!S50+D49</f>
        <v>271017796.32377392</v>
      </c>
      <c r="Y49" s="118">
        <f>'FIM interventions data'!G50*'Assumptions data'!T50+E49</f>
        <v>325961937.04793292</v>
      </c>
      <c r="Z49" s="118">
        <f>'FIM interventions data'!I50*'Assumptions data'!U49+F49</f>
        <v>225782816.70275238</v>
      </c>
      <c r="AA49" s="178">
        <f>'FIM interventions data'!K50*'Assumptions data'!$V50+G49</f>
        <v>243013926.59775445</v>
      </c>
      <c r="AB49" s="234">
        <f>'FIM interventions data'!L50*'Assumptions data'!$S50+H49</f>
        <v>62652705.011883728</v>
      </c>
      <c r="AC49" s="234">
        <f>'FIM interventions data'!M50*'Assumptions data'!$T50+I49</f>
        <v>75354450.386603221</v>
      </c>
      <c r="AD49" s="234">
        <f>'FIM interventions data'!N50*'Assumptions data'!$U49+J49</f>
        <v>52195480.900192335</v>
      </c>
      <c r="AE49" s="235">
        <f>'FIM interventions data'!O50*'Assumptions data'!$V50+K49</f>
        <v>56178893.280939445</v>
      </c>
      <c r="AF49" s="234">
        <f>'FIM interventions data'!P50*'Assumptions data'!$S50+L49</f>
        <v>60525572.057862774</v>
      </c>
      <c r="AG49" s="234">
        <f>'FIM interventions data'!Q50*'Assumptions data'!$T50+M49</f>
        <v>72796078.252166584</v>
      </c>
      <c r="AH49" s="234">
        <f>'FIM interventions data'!R50*'Assumptions data'!$U49+N49</f>
        <v>50423382.992325276</v>
      </c>
      <c r="AI49" s="235">
        <f>'FIM interventions data'!S50*'Assumptions data'!$V50+O49</f>
        <v>54271553.842113182</v>
      </c>
      <c r="AJ49" s="234">
        <f>'FIM interventions data'!T50*'Assumptions data'!$S50+P49</f>
        <v>114376298.14662817</v>
      </c>
      <c r="AK49" s="234">
        <f>'FIM interventions data'!U50*'Assumptions data'!$T50+Q49</f>
        <v>137564101.70093462</v>
      </c>
      <c r="AL49" s="234">
        <f>'FIM interventions data'!V50*'Assumptions data'!$U49+R49</f>
        <v>95286003.760167748</v>
      </c>
      <c r="AM49" s="235">
        <f>'FIM interventions data'!W50*'Assumptions data'!$V50+S49</f>
        <v>102557963.71807991</v>
      </c>
      <c r="AN49" s="234">
        <f>'FIM interventions data'!X50*'Assumptions data'!$S50+T49</f>
        <v>2934192.4505916922</v>
      </c>
      <c r="AO49" s="234">
        <f>'FIM interventions data'!Y50*'Assumptions data'!$T50+U49</f>
        <v>3529048.895828506</v>
      </c>
      <c r="AP49" s="234">
        <f>'FIM interventions data'!Z50*'Assumptions data'!$U49+V49</f>
        <v>2444452.8928686804</v>
      </c>
      <c r="AQ49" s="235">
        <f>'FIM interventions data'!AA50*'Assumptions data'!$V50+W49</f>
        <v>2631006.666292584</v>
      </c>
      <c r="AR49" s="118">
        <f>'FIM interventions data'!AB50*'Assumptions data'!$L50*'Local food sourcing'!$I49</f>
        <v>4090539.3941873433</v>
      </c>
      <c r="AS49" s="118">
        <f>'FIM interventions data'!AC50*'Assumptions data'!$N50*'Local food sourcing'!$I49</f>
        <v>9444134.760993382</v>
      </c>
      <c r="AT49" s="118">
        <f>'FIM interventions data'!AD50*'Assumptions data'!$R49*'Local food sourcing'!$K49</f>
        <v>584620.23438375245</v>
      </c>
      <c r="AU49" s="178">
        <f>'FIM interventions data'!AE50*'Assumptions data'!$P49*'Local food sourcing'!$L49</f>
        <v>7040871.987608348</v>
      </c>
      <c r="AV49" s="234">
        <f>'FIM interventions data'!AF50*'Assumptions data'!$L50*'Local food sourcing'!$I49</f>
        <v>2720692.4615087844</v>
      </c>
      <c r="AW49" s="234">
        <f>'FIM interventions data'!AG50*'Assumptions data'!$N50*'Local food sourcing'!$I49</f>
        <v>6281466.5191147588</v>
      </c>
      <c r="AX49" s="234">
        <f>'FIM interventions data'!AH50*'Assumptions data'!$R49*'Local food sourcing'!$K49</f>
        <v>388841.59551025898</v>
      </c>
      <c r="AY49" s="235">
        <f>'FIM interventions data'!AI50*'Assumptions data'!$P49*'Local food sourcing'!$L49</f>
        <v>4683012.5548613844</v>
      </c>
      <c r="AZ49" s="234">
        <f>'FIM interventions data'!AJ50*'Assumptions data'!$L50*'Local food sourcing'!$I49</f>
        <v>744662.2896422199</v>
      </c>
      <c r="BA49" s="234">
        <f>'FIM interventions data'!AK50*'Assumptions data'!$N50*'Local food sourcing'!$I49</f>
        <v>1719257.6179084026</v>
      </c>
      <c r="BB49" s="234">
        <f>'FIM interventions data'!AL50*'Assumptions data'!$R49*'Local food sourcing'!$K49</f>
        <v>106427.19708945995</v>
      </c>
      <c r="BC49" s="235">
        <f>'FIM interventions data'!AM50*'Assumptions data'!$P49*'Local food sourcing'!$L49</f>
        <v>1281755.6195206449</v>
      </c>
      <c r="BD49" s="234">
        <f>'FIM interventions data'!AN50*'Assumptions data'!$L50*'Local food sourcing'!$I49</f>
        <v>537713.51079826767</v>
      </c>
      <c r="BE49" s="234">
        <f>'FIM interventions data'!AO50*'Assumptions data'!$N50*'Local food sourcing'!$I49</f>
        <v>1241459.467668711</v>
      </c>
      <c r="BF49" s="234">
        <f>'FIM interventions data'!AP50*'Assumptions data'!$R49*'Local food sourcing'!$K49</f>
        <v>76850.060204993206</v>
      </c>
      <c r="BG49" s="235">
        <f>'FIM interventions data'!AQ50*'Assumptions data'!$P49*'Local food sourcing'!$L49</f>
        <v>925543.46278095478</v>
      </c>
      <c r="BH49" s="234">
        <f>'FIM interventions data'!AR50*'Assumptions data'!$L50*'Local food sourcing'!$I49</f>
        <v>28947.023784806755</v>
      </c>
      <c r="BI49" s="234">
        <f>'FIM interventions data'!AS50*'Assumptions data'!$N50*'Local food sourcing'!$I49</f>
        <v>66832.16251183601</v>
      </c>
      <c r="BJ49" s="234">
        <f>'FIM interventions data'!AT50*'Assumptions data'!$R49*'Local food sourcing'!$K49</f>
        <v>4137.1110748458732</v>
      </c>
      <c r="BK49" s="235">
        <f>'FIM interventions data'!AU50*'Assumptions data'!$P49*'Local food sourcing'!$L49</f>
        <v>49825.284455320434</v>
      </c>
      <c r="BL49" s="118">
        <f>'FIM interventions data'!AB50*'Assumptions data'!$S50*'Assumptions data'!$W50+AR49</f>
        <v>76109598.603098258</v>
      </c>
      <c r="BM49" s="118">
        <f>'FIM interventions data'!AC50*'Assumptions data'!$T50*'Assumptions data'!$X50+AS49</f>
        <v>64928426.481829502</v>
      </c>
      <c r="BN49" s="234">
        <f>'FIM interventions data'!AD50*'Assumptions data'!$U49*'Assumptions data'!$Z50+AT49</f>
        <v>4725680.2279353328</v>
      </c>
      <c r="BO49" s="235">
        <f>'FIM interventions data'!AE50*'Assumptions data'!$V50*'Assumptions data'!$Y50+AU49</f>
        <v>48405994.914807402</v>
      </c>
      <c r="BP49" s="234">
        <f>'FIM interventions data'!AF50*'Assumptions data'!$S50*'Assumptions data'!$W50+AV49</f>
        <v>50621884.11194782</v>
      </c>
      <c r="BQ49" s="234">
        <f>'FIM interventions data'!AG50*'Assumptions data'!$T50*'Assumptions data'!$X50+AW49</f>
        <v>43185082.318913966</v>
      </c>
      <c r="BR49" s="234">
        <f>'FIM interventions data'!AH50*'Assumptions data'!$U49*'Assumptions data'!$Z50+AX49</f>
        <v>3143136.2303745933</v>
      </c>
      <c r="BS49" s="235">
        <f>'FIM interventions data'!AI50*'Assumptions data'!$V50*'Assumptions data'!$Y50+AY49</f>
        <v>32195711.314672019</v>
      </c>
      <c r="BT49" s="234">
        <f>'FIM interventions data'!AJ50*'Assumptions data'!$S50*'Assumptions data'!$W50+AZ49</f>
        <v>13855372.726655552</v>
      </c>
      <c r="BU49" s="234">
        <f>'FIM interventions data'!AK50*'Assumptions data'!$T50*'Assumptions data'!$X50+BA49</f>
        <v>11819896.123120269</v>
      </c>
      <c r="BV49" s="234">
        <f>'FIM interventions data'!AL50*'Assumptions data'!$U49*'Assumptions data'!$Z50+BB49</f>
        <v>860286.50980646792</v>
      </c>
      <c r="BW49" s="235">
        <f>'FIM interventions data'!AM50*'Assumptions data'!$V50*'Assumptions data'!$Y50+BC49</f>
        <v>8812069.8842044342</v>
      </c>
      <c r="BX49" s="234">
        <f>'FIM interventions data'!AN50*'Assumptions data'!$S50*'Assumptions data'!$W50+BD49</f>
        <v>10004832.010290269</v>
      </c>
      <c r="BY49" s="234">
        <f>'FIM interventions data'!AO50*'Assumptions data'!$T50*'Assumptions data'!$X50+BE49</f>
        <v>8535033.8402223885</v>
      </c>
      <c r="BZ49" s="234">
        <f>'FIM interventions data'!AP50*'Assumptions data'!$U49*'Assumptions data'!$Z50+BF49</f>
        <v>621204.65332369518</v>
      </c>
      <c r="CA49" s="235">
        <f>'FIM interventions data'!AQ50*'Assumptions data'!$V50*'Assumptions data'!$Y50+BG49</f>
        <v>6363111.3066190649</v>
      </c>
      <c r="CB49" s="234">
        <f>'FIM interventions data'!AR50*'Assumptions data'!$S50*'Assumptions data'!$W50+BH49</f>
        <v>538595.56129606068</v>
      </c>
      <c r="CC49" s="234">
        <f>'FIM interventions data'!AS50*'Assumptions data'!$T50*'Assumptions data'!$X50+BI49</f>
        <v>459471.11726887256</v>
      </c>
      <c r="CD49" s="234">
        <f>'FIM interventions data'!AT50*'Assumptions data'!$U49*'Assumptions data'!$Z50+BJ49</f>
        <v>33441.647855004143</v>
      </c>
      <c r="CE49" s="234">
        <f>'FIM interventions data'!AU50*'Assumptions data'!$V50*'Assumptions data'!$Y50+BK49</f>
        <v>342548.83063032804</v>
      </c>
      <c r="CF49" s="247">
        <f>'FIM interventions data'!AV50*'Assumptions data'!$L50*'Local food sourcing'!$I49</f>
        <v>2383569.6480316082</v>
      </c>
      <c r="CG49" s="234">
        <f>'FIM interventions data'!AW50*'Assumptions data'!$N50*'Local food sourcing'!$I49</f>
        <v>5503125.8225288941</v>
      </c>
      <c r="CH49" s="234">
        <f>'FIM interventions data'!AX50*'Assumptions data'!$R49*'Local food sourcing'!$K49</f>
        <v>340659.97464353399</v>
      </c>
      <c r="CI49" s="234">
        <f>'FIM interventions data'!AY50*'Assumptions data'!$P49*'Local food sourcing'!$L49</f>
        <v>4102737.3527283557</v>
      </c>
      <c r="CJ49" s="247">
        <f>'FIM interventions data'!AV50*'Assumptions data'!$S50*'Assumptions data'!$W50+CF49</f>
        <v>44349292.76368811</v>
      </c>
      <c r="CK49" s="234">
        <f>'FIM interventions data'!AW50*'Assumptions data'!$T50*'Assumptions data'!$X50+CG49</f>
        <v>37833990.029886149</v>
      </c>
      <c r="CL49" s="234">
        <f>'FIM interventions data'!AX50*'Assumptions data'!$U49*'Assumptions data'!$Z50+CH49</f>
        <v>2753668.1283685667</v>
      </c>
      <c r="CM49" s="235">
        <f>'FIM interventions data'!AY50*'Assumptions data'!$V50*'Assumptions data'!$Y50+CI49</f>
        <v>28206319.300007448</v>
      </c>
    </row>
    <row r="50" spans="1:91">
      <c r="A50" s="9">
        <v>49</v>
      </c>
      <c r="B50" s="1" t="s">
        <v>553</v>
      </c>
      <c r="C50" s="1" t="s">
        <v>554</v>
      </c>
      <c r="D50" s="78">
        <f>'FIM interventions data'!E51*'Assumptions data'!L51*'Local food sourcing'!I50</f>
        <v>76286169.296850011</v>
      </c>
      <c r="E50" s="118">
        <f>'FIM interventions data'!G51*'Assumptions data'!N51*'Local food sourcing'!I50</f>
        <v>176127594.38600603</v>
      </c>
      <c r="F50" s="118">
        <f>'FIM interventions data'!I51*'Assumptions data'!$R50*'Local food sourcing'!$K50</f>
        <v>10902825.734409861</v>
      </c>
      <c r="G50" s="178">
        <f>'FIM interventions data'!K51*'Assumptions data'!$P50*'Local food sourcing'!$L50</f>
        <v>131308148.06658225</v>
      </c>
      <c r="H50" s="247">
        <f>'FIM interventions data'!L51*'Assumptions data'!$L51*'Local food sourcing'!$I50</f>
        <v>20393625.237229772</v>
      </c>
      <c r="I50" s="234">
        <f>'FIM interventions data'!M51*'Assumptions data'!$N51*'Local food sourcing'!$I50</f>
        <v>47084290.467726193</v>
      </c>
      <c r="J50" s="234">
        <f>'FIM interventions data'!N51*'Assumptions data'!$R50*'Local food sourcing'!$K50</f>
        <v>2914658.6347672376</v>
      </c>
      <c r="K50" s="235">
        <f>'FIM interventions data'!O51*'Assumptions data'!$P50*'Local food sourcing'!$L50</f>
        <v>35102682.267926231</v>
      </c>
      <c r="L50" s="247">
        <f>'FIM interventions data'!P51*'Assumptions data'!$L51*'Local food sourcing'!$I50</f>
        <v>17508021.017278325</v>
      </c>
      <c r="M50" s="234">
        <f>'FIM interventions data'!Q51*'Assumptions data'!$N51*'Local food sourcing'!$I50</f>
        <v>40422079.816769555</v>
      </c>
      <c r="N50" s="234">
        <f>'FIM interventions data'!R51*'Assumptions data'!$R50*'Local food sourcing'!$K50</f>
        <v>2502247.8368651411</v>
      </c>
      <c r="O50" s="235">
        <f>'FIM interventions data'!S51*'Assumptions data'!$P50*'Local food sourcing'!$L50</f>
        <v>30135814.096835818</v>
      </c>
      <c r="P50" s="247">
        <f>'FIM interventions data'!T51*'Assumptions data'!$L51*'Local food sourcing'!$I50</f>
        <v>57887258.941395022</v>
      </c>
      <c r="Q50" s="234">
        <f>'FIM interventions data'!U51*'Assumptions data'!$N51*'Local food sourcing'!$I50</f>
        <v>133648651.60910261</v>
      </c>
      <c r="R50" s="234">
        <f>'FIM interventions data'!V51*'Assumptions data'!$R50*'Local food sourcing'!$K50</f>
        <v>8273251.9183755862</v>
      </c>
      <c r="S50" s="235">
        <f>'FIM interventions data'!W51*'Assumptions data'!$P50*'Local food sourcing'!$L50</f>
        <v>99638883.932780549</v>
      </c>
      <c r="T50" s="247">
        <f>'FIM interventions data'!X51*'Assumptions data'!$L51*'Local food sourcing'!$I50</f>
        <v>901453.04383062082</v>
      </c>
      <c r="U50" s="234">
        <f>'FIM interventions data'!Y51*'Assumptions data'!$N51*'Local food sourcing'!$I50</f>
        <v>2081252.1788059692</v>
      </c>
      <c r="V50" s="234">
        <f>'FIM interventions data'!Z51*'Assumptions data'!$R50*'Local food sourcing'!$K50</f>
        <v>128835.74486999997</v>
      </c>
      <c r="W50" s="235">
        <f>'FIM interventions data'!AA51*'Assumptions data'!$P50*'Local food sourcing'!$L50</f>
        <v>1551632.8955223875</v>
      </c>
      <c r="X50" s="118">
        <f>'FIM interventions data'!E51*'Assumptions data'!S51+D50</f>
        <v>792613298.99427164</v>
      </c>
      <c r="Y50" s="118">
        <f>'FIM interventions data'!G51*'Assumptions data'!T51+E50</f>
        <v>1003927288.0002345</v>
      </c>
      <c r="Z50" s="118">
        <f>'FIM interventions data'!I51*'Assumptions data'!U50+F50</f>
        <v>628729617.3509686</v>
      </c>
      <c r="AA50" s="178">
        <f>'FIM interventions data'!K51*'Assumptions data'!$V51+G50</f>
        <v>748456443.97951877</v>
      </c>
      <c r="AB50" s="234">
        <f>'FIM interventions data'!L51*'Assumptions data'!$S51+H50</f>
        <v>211889766.21481735</v>
      </c>
      <c r="AC50" s="234">
        <f>'FIM interventions data'!M51*'Assumptions data'!$T51+I50</f>
        <v>268380455.66603935</v>
      </c>
      <c r="AD50" s="234">
        <f>'FIM interventions data'!N51*'Assumptions data'!$U50+J50</f>
        <v>168078647.93824401</v>
      </c>
      <c r="AE50" s="235">
        <f>'FIM interventions data'!O51*'Assumptions data'!$V51+K50</f>
        <v>200085288.92717952</v>
      </c>
      <c r="AF50" s="234">
        <f>'FIM interventions data'!P51*'Assumptions data'!$S51+L50</f>
        <v>181908338.3695218</v>
      </c>
      <c r="AG50" s="234">
        <f>'FIM interventions data'!Q51*'Assumptions data'!$T51+M50</f>
        <v>230405854.95558649</v>
      </c>
      <c r="AH50" s="234">
        <f>'FIM interventions data'!R51*'Assumptions data'!$U50+N50</f>
        <v>144296291.92588976</v>
      </c>
      <c r="AI50" s="235">
        <f>'FIM interventions data'!S51*'Assumptions data'!$V51+O50</f>
        <v>171774140.35196418</v>
      </c>
      <c r="AJ50" s="234">
        <f>'FIM interventions data'!T51*'Assumptions data'!$S51+P50</f>
        <v>601448620.40109432</v>
      </c>
      <c r="AK50" s="234">
        <f>'FIM interventions data'!U51*'Assumptions data'!$T51+Q50</f>
        <v>761797314.17188489</v>
      </c>
      <c r="AL50" s="234">
        <f>'FIM interventions data'!V51*'Assumptions data'!$U50+R50</f>
        <v>477090860.62632549</v>
      </c>
      <c r="AM50" s="235">
        <f>'FIM interventions data'!W51*'Assumptions data'!$V51+S50</f>
        <v>567941638.41684914</v>
      </c>
      <c r="AN50" s="234">
        <f>'FIM interventions data'!X51*'Assumptions data'!$S51+T50</f>
        <v>9366097.1254001502</v>
      </c>
      <c r="AO50" s="234">
        <f>'FIM interventions data'!Y51*'Assumptions data'!$T51+U50</f>
        <v>11863137.419194026</v>
      </c>
      <c r="AP50" s="234">
        <f>'FIM interventions data'!Z51*'Assumptions data'!$U50+V50</f>
        <v>7429527.9541699979</v>
      </c>
      <c r="AQ50" s="235">
        <f>'FIM interventions data'!AA51*'Assumptions data'!$V51+W50</f>
        <v>8844307.5044776089</v>
      </c>
      <c r="AR50" s="118">
        <f>'FIM interventions data'!AB51*'Assumptions data'!$L51*'Local food sourcing'!$I50</f>
        <v>17338988.899147525</v>
      </c>
      <c r="AS50" s="118">
        <f>'FIM interventions data'!AC51*'Assumptions data'!$N51*'Local food sourcing'!$I50</f>
        <v>40031822.701819897</v>
      </c>
      <c r="AT50" s="118">
        <f>'FIM interventions data'!AD51*'Assumptions data'!$R50*'Local food sourcing'!$K50</f>
        <v>2478089.7523199986</v>
      </c>
      <c r="AU50" s="178">
        <f>'FIM interventions data'!AE51*'Assumptions data'!$P50*'Local food sourcing'!$L50</f>
        <v>29844866.280211817</v>
      </c>
      <c r="AV50" s="234">
        <f>'FIM interventions data'!AF51*'Assumptions data'!$L51*'Local food sourcing'!$I50</f>
        <v>11547954.537918445</v>
      </c>
      <c r="AW50" s="234">
        <f>'FIM interventions data'!AG51*'Assumptions data'!$N51*'Local food sourcing'!$I50</f>
        <v>26661627.809990469</v>
      </c>
      <c r="AX50" s="234">
        <f>'FIM interventions data'!AH51*'Assumptions data'!$R50*'Local food sourcing'!$K50</f>
        <v>1650434.63417177</v>
      </c>
      <c r="AY50" s="235">
        <f>'FIM interventions data'!AI51*'Assumptions data'!$P50*'Local food sourcing'!$L50</f>
        <v>19877004.420429952</v>
      </c>
      <c r="AZ50" s="234">
        <f>'FIM interventions data'!AJ51*'Assumptions data'!$L51*'Local food sourcing'!$I50</f>
        <v>5764626.5409733206</v>
      </c>
      <c r="BA50" s="234">
        <f>'FIM interventions data'!AK51*'Assumptions data'!$N51*'Local food sourcing'!$I50</f>
        <v>13309225.178741254</v>
      </c>
      <c r="BB50" s="234">
        <f>'FIM interventions data'!AL51*'Assumptions data'!$R50*'Local food sourcing'!$K50</f>
        <v>823880.91025539581</v>
      </c>
      <c r="BC50" s="235">
        <f>'FIM interventions data'!AM51*'Assumptions data'!$P50*'Local food sourcing'!$L50</f>
        <v>9922407.1986785438</v>
      </c>
      <c r="BD50" s="234">
        <f>'FIM interventions data'!AN51*'Assumptions data'!$L51*'Local food sourcing'!$I50</f>
        <v>5150318.7967266161</v>
      </c>
      <c r="BE50" s="234">
        <f>'FIM interventions data'!AO51*'Assumptions data'!$N51*'Local food sourcing'!$I50</f>
        <v>11890926.865899721</v>
      </c>
      <c r="BF50" s="234">
        <f>'FIM interventions data'!AP51*'Assumptions data'!$R50*'Local food sourcing'!$K50</f>
        <v>736083.99576152849</v>
      </c>
      <c r="BG50" s="235">
        <f>'FIM interventions data'!AQ51*'Assumptions data'!$P50*'Local food sourcing'!$L50</f>
        <v>8865025.3300712667</v>
      </c>
      <c r="BH50" s="234">
        <f>'FIM interventions data'!AR51*'Assumptions data'!$L51*'Local food sourcing'!$I50</f>
        <v>156354.72588187887</v>
      </c>
      <c r="BI50" s="234">
        <f>'FIM interventions data'!AS51*'Assumptions data'!$N51*'Local food sourcing'!$I50</f>
        <v>360987.86967922677</v>
      </c>
      <c r="BJ50" s="234">
        <f>'FIM interventions data'!AT51*'Assumptions data'!$R50*'Local food sourcing'!$K50</f>
        <v>22346.230578285686</v>
      </c>
      <c r="BK50" s="235">
        <f>'FIM interventions data'!AU51*'Assumptions data'!$P50*'Local food sourcing'!$L50</f>
        <v>269126.75896881579</v>
      </c>
      <c r="BL50" s="118">
        <f>'FIM interventions data'!AB51*'Assumptions data'!$S51*'Assumptions data'!$W51+AR50</f>
        <v>139448818.221394</v>
      </c>
      <c r="BM50" s="118">
        <f>'FIM interventions data'!AC51*'Assumptions data'!$T51*'Assumptions data'!$X51+AS50</f>
        <v>134106606.05109668</v>
      </c>
      <c r="BN50" s="234">
        <f>'FIM interventions data'!AD51*'Assumptions data'!$U50*'Assumptions data'!$Z51+AT50</f>
        <v>9499344.0505599938</v>
      </c>
      <c r="BO50" s="235">
        <f>'FIM interventions data'!AE51*'Assumptions data'!$V51*'Assumptions data'!$Y51+AU50</f>
        <v>99980302.038709596</v>
      </c>
      <c r="BP50" s="234">
        <f>'FIM interventions data'!AF51*'Assumptions data'!$S51*'Assumptions data'!$W51+AV50</f>
        <v>92874424.3712091</v>
      </c>
      <c r="BQ50" s="234">
        <f>'FIM interventions data'!AG51*'Assumptions data'!$T51*'Assumptions data'!$X51+AW50</f>
        <v>89316453.163468078</v>
      </c>
      <c r="BR50" s="234">
        <f>'FIM interventions data'!AH51*'Assumptions data'!$U50*'Assumptions data'!$Z51+AX50</f>
        <v>6326666.0976584516</v>
      </c>
      <c r="BS50" s="235">
        <f>'FIM interventions data'!AI51*'Assumptions data'!$V51*'Assumptions data'!$Y51+AY50</f>
        <v>66587964.80844035</v>
      </c>
      <c r="BT50" s="234">
        <f>'FIM interventions data'!AJ51*'Assumptions data'!$S51*'Assumptions data'!$W51+AZ50</f>
        <v>46362008.955777928</v>
      </c>
      <c r="BU50" s="234">
        <f>'FIM interventions data'!AK51*'Assumptions data'!$T51*'Assumptions data'!$X51+BA50</f>
        <v>44585904.348783202</v>
      </c>
      <c r="BV50" s="234">
        <f>'FIM interventions data'!AL51*'Assumptions data'!$U50*'Assumptions data'!$Z51+BB50</f>
        <v>3158210.1559790173</v>
      </c>
      <c r="BW50" s="235">
        <f>'FIM interventions data'!AM51*'Assumptions data'!$V51*'Assumptions data'!$Y51+BC50</f>
        <v>33240064.115573123</v>
      </c>
      <c r="BX50" s="234">
        <f>'FIM interventions data'!AN51*'Assumptions data'!$S51*'Assumptions data'!$W51+BD50</f>
        <v>41421438.922673807</v>
      </c>
      <c r="BY50" s="234">
        <f>'FIM interventions data'!AO51*'Assumptions data'!$T51*'Assumptions data'!$X51+BE50</f>
        <v>39834605.000764072</v>
      </c>
      <c r="BZ50" s="234">
        <f>'FIM interventions data'!AP51*'Assumptions data'!$U50*'Assumptions data'!$Z51+BF50</f>
        <v>2821655.3170858594</v>
      </c>
      <c r="CA50" s="235">
        <f>'FIM interventions data'!AQ51*'Assumptions data'!$V51*'Assumptions data'!$Y51+BG50</f>
        <v>29697834.855738748</v>
      </c>
      <c r="CB50" s="234">
        <f>'FIM interventions data'!AR51*'Assumptions data'!$S51*'Assumptions data'!$W51+BH50</f>
        <v>1257482.8829050106</v>
      </c>
      <c r="CC50" s="234">
        <f>'FIM interventions data'!AS51*'Assumptions data'!$T51*'Assumptions data'!$X51+BI50</f>
        <v>1209309.3634254099</v>
      </c>
      <c r="CD50" s="234">
        <f>'FIM interventions data'!AT51*'Assumptions data'!$U50*'Assumptions data'!$Z51+BJ50</f>
        <v>85660.550550095126</v>
      </c>
      <c r="CE50" s="234">
        <f>'FIM interventions data'!AU51*'Assumptions data'!$V51*'Assumptions data'!$Y51+BK50</f>
        <v>901574.64254553302</v>
      </c>
      <c r="CF50" s="247">
        <f>'FIM interventions data'!AV51*'Assumptions data'!$L51*'Local food sourcing'!$I50</f>
        <v>15674014.799604923</v>
      </c>
      <c r="CG50" s="234">
        <f>'FIM interventions data'!AW51*'Assumptions data'!$N51*'Local food sourcing'!$I50</f>
        <v>36187772.258988798</v>
      </c>
      <c r="CH50" s="234">
        <f>'FIM interventions data'!AX51*'Assumptions data'!$R50*'Local food sourcing'!$K50</f>
        <v>2240131.5139271249</v>
      </c>
      <c r="CI50" s="234">
        <f>'FIM interventions data'!AY51*'Assumptions data'!$P50*'Local food sourcing'!$L50</f>
        <v>26979016.970895518</v>
      </c>
      <c r="CJ50" s="247">
        <f>'FIM interventions data'!AV51*'Assumptions data'!$S51*'Assumptions data'!$W51+CF50</f>
        <v>126058264.02582261</v>
      </c>
      <c r="CK50" s="234">
        <f>'FIM interventions data'!AW51*'Assumptions data'!$T51*'Assumptions data'!$X51+CG50</f>
        <v>121229037.06761248</v>
      </c>
      <c r="CL50" s="234">
        <f>'FIM interventions data'!AX51*'Assumptions data'!$U50*'Assumptions data'!$Z51+CH50</f>
        <v>8587170.8033873122</v>
      </c>
      <c r="CM50" s="235">
        <f>'FIM interventions data'!AY51*'Assumptions data'!$V51*'Assumptions data'!$Y51+CI50</f>
        <v>90379706.852499992</v>
      </c>
    </row>
    <row r="51" spans="1:91">
      <c r="A51" s="13">
        <v>50</v>
      </c>
      <c r="B51" s="14" t="s">
        <v>558</v>
      </c>
      <c r="C51" s="14" t="s">
        <v>559</v>
      </c>
      <c r="D51" s="168">
        <f>'FIM interventions data'!E52*'Assumptions data'!L52*'Local food sourcing'!I51</f>
        <v>6068554.5128860623</v>
      </c>
      <c r="E51" s="22">
        <f>'FIM interventions data'!G52*'Assumptions data'!N52*'Local food sourcing'!I51</f>
        <v>14010926.457662586</v>
      </c>
      <c r="F51" s="118">
        <f>'FIM interventions data'!I52*'Assumptions data'!$R51*'Local food sourcing'!$K51</f>
        <v>867318.32157281123</v>
      </c>
      <c r="G51" s="178">
        <f>'FIM interventions data'!K52*'Assumptions data'!$P51*'Local food sourcing'!$L51</f>
        <v>10445545.527753646</v>
      </c>
      <c r="H51" s="289">
        <f>'FIM interventions data'!L52*'Assumptions data'!$L52*'Local food sourcing'!$I51</f>
        <v>1291878.7383022818</v>
      </c>
      <c r="I51" s="249">
        <f>'FIM interventions data'!M52*'Assumptions data'!$N52*'Local food sourcing'!$I51</f>
        <v>2982657.2301750756</v>
      </c>
      <c r="J51" s="234">
        <f>'FIM interventions data'!N52*'Assumptions data'!$R51*'Local food sourcing'!$K51</f>
        <v>184635.4179732113</v>
      </c>
      <c r="K51" s="235">
        <f>'FIM interventions data'!O52*'Assumptions data'!$P51*'Local food sourcing'!$L51</f>
        <v>2223656.0862424895</v>
      </c>
      <c r="L51" s="289">
        <f>'FIM interventions data'!P52*'Assumptions data'!$L52*'Local food sourcing'!$I51</f>
        <v>1448355.5841492536</v>
      </c>
      <c r="M51" s="249">
        <f>'FIM interventions data'!Q52*'Assumptions data'!$N52*'Local food sourcing'!$I51</f>
        <v>3343927.0473668939</v>
      </c>
      <c r="N51" s="234">
        <f>'FIM interventions data'!R52*'Assumptions data'!$R51*'Local food sourcing'!$K51</f>
        <v>206999.10194718293</v>
      </c>
      <c r="O51" s="235">
        <f>'FIM interventions data'!S52*'Assumptions data'!$P51*'Local food sourcing'!$L51</f>
        <v>2492993.0451283567</v>
      </c>
      <c r="P51" s="289">
        <f>'FIM interventions data'!T52*'Assumptions data'!$L52*'Local food sourcing'!$I51</f>
        <v>3544848.8341440158</v>
      </c>
      <c r="Q51" s="249">
        <f>'FIM interventions data'!U52*'Assumptions data'!$N52*'Local food sourcing'!$I51</f>
        <v>8184258.0820951499</v>
      </c>
      <c r="R51" s="234">
        <f>'FIM interventions data'!V52*'Assumptions data'!$R51*'Local food sourcing'!$K51</f>
        <v>506630.0936294889</v>
      </c>
      <c r="S51" s="235">
        <f>'FIM interventions data'!W52*'Assumptions data'!$P51*'Local food sourcing'!$L51</f>
        <v>6101597.9682525992</v>
      </c>
      <c r="T51" s="289">
        <f>'FIM interventions data'!X52*'Assumptions data'!$L52*'Local food sourcing'!$I51</f>
        <v>98092.26394196217</v>
      </c>
      <c r="U51" s="249">
        <f>'FIM interventions data'!Y52*'Assumptions data'!$N52*'Local food sourcing'!$I51</f>
        <v>226472.95879737334</v>
      </c>
      <c r="V51" s="234">
        <f>'FIM interventions data'!Z52*'Assumptions data'!$R51*'Local food sourcing'!$K51</f>
        <v>14019.354615792858</v>
      </c>
      <c r="W51" s="235">
        <f>'FIM interventions data'!AA52*'Assumptions data'!$P51*'Local food sourcing'!$L51</f>
        <v>168842.05402628976</v>
      </c>
      <c r="X51" s="22">
        <f>'FIM interventions data'!E52*'Assumptions data'!S52+D51</f>
        <v>77298213.107886225</v>
      </c>
      <c r="Y51" s="22">
        <f>'FIM interventions data'!G52*'Assumptions data'!T52+E51</f>
        <v>96325119.396430284</v>
      </c>
      <c r="Z51" s="249">
        <f>'FIM interventions data'!I52*'Assumptions data'!U51+F51</f>
        <v>62302366.099646933</v>
      </c>
      <c r="AA51" s="178">
        <f>'FIM interventions data'!K52*'Assumptions data'!$V52+G51</f>
        <v>71813125.503306329</v>
      </c>
      <c r="AB51" s="249">
        <f>'FIM interventions data'!L52*'Assumptions data'!$S52+H51</f>
        <v>16455305.429125315</v>
      </c>
      <c r="AC51" s="249">
        <f>'FIM interventions data'!M52*'Assumptions data'!$T52+I51</f>
        <v>20505768.457453646</v>
      </c>
      <c r="AD51" s="249">
        <f>'FIM interventions data'!N52*'Assumptions data'!$U51+J51</f>
        <v>13262977.524409011</v>
      </c>
      <c r="AE51" s="244">
        <f>'FIM interventions data'!O52*'Assumptions data'!$V52+K51</f>
        <v>15287635.592917118</v>
      </c>
      <c r="AF51" s="249">
        <f>'FIM interventions data'!P52*'Assumptions data'!$S52+L51</f>
        <v>18448429.253101118</v>
      </c>
      <c r="AG51" s="249">
        <f>'FIM interventions data'!Q52*'Assumptions data'!$T52+M51</f>
        <v>22989498.450647399</v>
      </c>
      <c r="AH51" s="249">
        <f>'FIM interventions data'!R52*'Assumptions data'!$U51+N51</f>
        <v>14869435.48987264</v>
      </c>
      <c r="AI51" s="244">
        <f>'FIM interventions data'!S52*'Assumptions data'!$V52+O51</f>
        <v>17139327.185257457</v>
      </c>
      <c r="AJ51" s="249">
        <f>'FIM interventions data'!T52*'Assumptions data'!$S52+P51</f>
        <v>45152512.024909407</v>
      </c>
      <c r="AK51" s="249">
        <f>'FIM interventions data'!U52*'Assumptions data'!$T52+Q51</f>
        <v>56266774.31440416</v>
      </c>
      <c r="AL51" s="249">
        <f>'FIM interventions data'!V52*'Assumptions data'!$U51+R51</f>
        <v>36392928.392384946</v>
      </c>
      <c r="AM51" s="244">
        <f>'FIM interventions data'!W52*'Assumptions data'!$V52+S51</f>
        <v>41948486.03173662</v>
      </c>
      <c r="AN51" s="249">
        <f>'FIM interventions data'!X52*'Assumptions data'!$S52+T51</f>
        <v>1249450.2119607432</v>
      </c>
      <c r="AO51" s="249">
        <f>'FIM interventions data'!Y52*'Assumptions data'!$T52+U51</f>
        <v>1557001.591731942</v>
      </c>
      <c r="AP51" s="249">
        <f>'FIM interventions data'!Z52*'Assumptions data'!$U51+V51</f>
        <v>1007056.9732344536</v>
      </c>
      <c r="AQ51" s="244">
        <f>'FIM interventions data'!AA52*'Assumptions data'!$V52+W51</f>
        <v>1160789.1214307423</v>
      </c>
      <c r="AR51" s="118">
        <f>'FIM interventions data'!AB52*'Assumptions data'!$L52*'Local food sourcing'!$I51</f>
        <v>1632190.088249831</v>
      </c>
      <c r="AS51" s="118">
        <f>'FIM interventions data'!AC52*'Assumptions data'!$N52*'Local food sourcing'!$I51</f>
        <v>3768359.5397940101</v>
      </c>
      <c r="AT51" s="118">
        <f>'FIM interventions data'!AD52*'Assumptions data'!$R51*'Local food sourcing'!$K51</f>
        <v>233272.74474055629</v>
      </c>
      <c r="AU51" s="178">
        <f>'FIM interventions data'!AE52*'Assumptions data'!$P51*'Local food sourcing'!$L51</f>
        <v>2809419.5809825044</v>
      </c>
      <c r="AV51" s="249">
        <f>'FIM interventions data'!AF52*'Assumptions data'!$L52*'Local food sourcing'!$I51</f>
        <v>1063224.5542870336</v>
      </c>
      <c r="AW51" s="249">
        <f>'FIM interventions data'!AG52*'Assumptions data'!$N52*'Local food sourcing'!$I51</f>
        <v>2454746.1848558318</v>
      </c>
      <c r="AX51" s="234">
        <f>'FIM interventions data'!AH52*'Assumptions data'!$R51*'Local food sourcing'!$K51</f>
        <v>151956.14275543106</v>
      </c>
      <c r="AY51" s="235">
        <f>'FIM interventions data'!AI52*'Assumptions data'!$P51*'Local food sourcing'!$L51</f>
        <v>1830083.3360643324</v>
      </c>
      <c r="AZ51" s="249">
        <f>'FIM interventions data'!AJ52*'Assumptions data'!$L52*'Local food sourcing'!$I51</f>
        <v>444952.03166443476</v>
      </c>
      <c r="BA51" s="249">
        <f>'FIM interventions data'!AK52*'Assumptions data'!$N52*'Local food sourcing'!$I51</f>
        <v>1027294.0911382063</v>
      </c>
      <c r="BB51" s="234">
        <f>'FIM interventions data'!AL52*'Assumptions data'!$R51*'Local food sourcing'!$K51</f>
        <v>63592.581802495428</v>
      </c>
      <c r="BC51" s="235">
        <f>'FIM interventions data'!AM52*'Assumptions data'!$P51*'Local food sourcing'!$L51</f>
        <v>765877.06257696031</v>
      </c>
      <c r="BD51" s="249">
        <f>'FIM interventions data'!AN52*'Assumptions data'!$L52*'Local food sourcing'!$I51</f>
        <v>388807.54464195925</v>
      </c>
      <c r="BE51" s="249">
        <f>'FIM interventions data'!AO52*'Assumptions data'!$N52*'Local food sourcing'!$I51</f>
        <v>897669.10762611299</v>
      </c>
      <c r="BF51" s="234">
        <f>'FIM interventions data'!AP52*'Assumptions data'!$R51*'Local food sourcing'!$K51</f>
        <v>55568.406993403762</v>
      </c>
      <c r="BG51" s="235">
        <f>'FIM interventions data'!AQ52*'Assumptions data'!$P51*'Local food sourcing'!$L51</f>
        <v>669237.93804073951</v>
      </c>
      <c r="BH51" s="249">
        <f>'FIM interventions data'!AR52*'Assumptions data'!$L52*'Local food sourcing'!$I51</f>
        <v>26789.401884577252</v>
      </c>
      <c r="BI51" s="249">
        <f>'FIM interventions data'!AS52*'Assumptions data'!$N52*'Local food sourcing'!$I51</f>
        <v>61850.699182575896</v>
      </c>
      <c r="BJ51" s="234">
        <f>'FIM interventions data'!AT52*'Assumptions data'!$R51*'Local food sourcing'!$K51</f>
        <v>3828.7435713288251</v>
      </c>
      <c r="BK51" s="235">
        <f>'FIM interventions data'!AU52*'Assumptions data'!$P51*'Local food sourcing'!$L51</f>
        <v>46111.461378891108</v>
      </c>
      <c r="BL51" s="118">
        <f>'FIM interventions data'!AB52*'Assumptions data'!$S52*'Assumptions data'!$W52+AR51</f>
        <v>16000563.458874123</v>
      </c>
      <c r="BM51" s="118">
        <f>'FIM interventions data'!AC52*'Assumptions data'!$T52*'Assumptions data'!$X52+AS51</f>
        <v>14837915.687938917</v>
      </c>
      <c r="BN51" s="234">
        <f>'FIM interventions data'!AD52*'Assumptions data'!$U51*'Assumptions data'!$Z52+AT51</f>
        <v>1059447.0490300264</v>
      </c>
      <c r="BO51" s="235">
        <f>'FIM interventions data'!AE52*'Assumptions data'!$V52*'Assumptions data'!$Y52+AU51</f>
        <v>11062089.600118611</v>
      </c>
      <c r="BP51" s="234">
        <f>'FIM interventions data'!AF52*'Assumptions data'!$S52*'Assumptions data'!$W52+AV51</f>
        <v>10422923.208745075</v>
      </c>
      <c r="BQ51" s="234">
        <f>'FIM interventions data'!AG52*'Assumptions data'!$T52*'Assumptions data'!$X52+AW51</f>
        <v>9665563.1028698385</v>
      </c>
      <c r="BR51" s="234">
        <f>'FIM interventions data'!AH52*'Assumptions data'!$U51*'Assumptions data'!$Z52+AX51</f>
        <v>690134.1483475829</v>
      </c>
      <c r="BS51" s="235">
        <f>'FIM interventions data'!AI52*'Assumptions data'!$V52*'Assumptions data'!$Y52+AY51</f>
        <v>7205953.1357533094</v>
      </c>
      <c r="BT51" s="234">
        <f>'FIM interventions data'!AJ52*'Assumptions data'!$S52*'Assumptions data'!$W52+AZ51</f>
        <v>4361920.3854104113</v>
      </c>
      <c r="BU51" s="234">
        <f>'FIM interventions data'!AK52*'Assumptions data'!$T52*'Assumptions data'!$X52+BA51</f>
        <v>4044970.4838566878</v>
      </c>
      <c r="BV51" s="234">
        <f>'FIM interventions data'!AL52*'Assumptions data'!$U51*'Assumptions data'!$Z52+BB51</f>
        <v>288816.30901966675</v>
      </c>
      <c r="BW51" s="235">
        <f>'FIM interventions data'!AM52*'Assumptions data'!$V52*'Assumptions data'!$Y52+BC51</f>
        <v>3015640.9338967814</v>
      </c>
      <c r="BX51" s="234">
        <f>'FIM interventions data'!AN52*'Assumptions data'!$S52*'Assumptions data'!$W52+BD51</f>
        <v>3811528.9610682065</v>
      </c>
      <c r="BY51" s="234">
        <f>'FIM interventions data'!AO52*'Assumptions data'!$T52*'Assumptions data'!$X52+BE51</f>
        <v>3534572.1112778205</v>
      </c>
      <c r="BZ51" s="234">
        <f>'FIM interventions data'!AP52*'Assumptions data'!$U51*'Assumptions data'!$Z52+BF51</f>
        <v>252373.18176170878</v>
      </c>
      <c r="CA51" s="235">
        <f>'FIM interventions data'!AQ52*'Assumptions data'!$V52*'Assumptions data'!$Y52+BG51</f>
        <v>2635124.3810354122</v>
      </c>
      <c r="CB51" s="234">
        <f>'FIM interventions data'!AR52*'Assumptions data'!$S52*'Assumptions data'!$W52+BH51</f>
        <v>262619.85534974636</v>
      </c>
      <c r="CC51" s="234">
        <f>'FIM interventions data'!AS52*'Assumptions data'!$T52*'Assumptions data'!$X52+BI51</f>
        <v>243537.12803139261</v>
      </c>
      <c r="CD51" s="234">
        <f>'FIM interventions data'!AT52*'Assumptions data'!$U51*'Assumptions data'!$Z52+BJ51</f>
        <v>17388.877053118416</v>
      </c>
      <c r="CE51" s="234">
        <f>'FIM interventions data'!AU52*'Assumptions data'!$V52*'Assumptions data'!$Y52+BK51</f>
        <v>181563.87917938374</v>
      </c>
      <c r="CF51" s="289">
        <f>'FIM interventions data'!AV52*'Assumptions data'!$L52*'Local food sourcing'!$I51</f>
        <v>1513336.6422616339</v>
      </c>
      <c r="CG51" s="249">
        <f>'FIM interventions data'!AW52*'Assumptions data'!$N52*'Local food sourcing'!$I51</f>
        <v>3493953.6845867457</v>
      </c>
      <c r="CH51" s="234">
        <f>'FIM interventions data'!AX52*'Assumptions data'!$R51*'Local food sourcing'!$K51</f>
        <v>216286.20023992797</v>
      </c>
      <c r="CI51" s="234">
        <f>'FIM interventions data'!AY52*'Assumptions data'!$P51*'Local food sourcing'!$L51</f>
        <v>2604842.184740298</v>
      </c>
      <c r="CJ51" s="247">
        <f>'FIM interventions data'!AV52*'Assumptions data'!$S52*'Assumptions data'!$W52+CF51</f>
        <v>14835428.27117108</v>
      </c>
      <c r="CK51" s="234">
        <f>'FIM interventions data'!AW52*'Assumptions data'!$T52*'Assumptions data'!$X52+CG51</f>
        <v>13757442.633060314</v>
      </c>
      <c r="CL51" s="234">
        <f>'FIM interventions data'!AX52*'Assumptions data'!$U51*'Assumptions data'!$Z52+CH51</f>
        <v>982299.82608967286</v>
      </c>
      <c r="CM51" s="235">
        <f>'FIM interventions data'!AY52*'Assumptions data'!$V52*'Assumptions data'!$Y52+CI51</f>
        <v>10256566.102414925</v>
      </c>
    </row>
    <row r="52" spans="1:91" s="4" customFormat="1">
      <c r="G52" s="220"/>
      <c r="H52" s="219"/>
      <c r="I52" s="219"/>
      <c r="J52" s="219"/>
      <c r="K52" s="219"/>
      <c r="L52" s="219"/>
      <c r="M52" s="219"/>
      <c r="N52" s="219"/>
      <c r="O52" s="219"/>
      <c r="P52" s="219"/>
      <c r="Q52" s="219"/>
      <c r="R52" s="219"/>
      <c r="S52" s="219"/>
      <c r="T52" s="219"/>
      <c r="U52" s="219"/>
      <c r="V52" s="219"/>
      <c r="W52" s="219"/>
      <c r="Z52" s="220"/>
      <c r="AB52" s="219"/>
      <c r="AC52" s="219"/>
      <c r="AD52" s="219"/>
      <c r="AE52" s="219"/>
      <c r="AF52" s="219"/>
      <c r="AG52" s="219"/>
      <c r="AH52" s="219"/>
      <c r="AI52" s="219"/>
      <c r="AJ52" s="248"/>
      <c r="AK52" s="248"/>
      <c r="AL52" s="248"/>
      <c r="AM52" s="248"/>
      <c r="AN52" s="219"/>
      <c r="AO52" s="219"/>
      <c r="AP52" s="219"/>
      <c r="AQ52" s="219"/>
      <c r="AT52" s="219"/>
      <c r="AV52" s="219"/>
      <c r="AW52" s="219"/>
      <c r="AX52" s="219"/>
      <c r="AY52" s="219"/>
      <c r="AZ52" s="219"/>
      <c r="BA52" s="219"/>
      <c r="BB52" s="219"/>
      <c r="BC52" s="219"/>
      <c r="BD52" s="219"/>
      <c r="BE52" s="219"/>
      <c r="BF52" s="219"/>
      <c r="BG52" s="219"/>
      <c r="BH52" s="219"/>
      <c r="BI52" s="219"/>
      <c r="BJ52" s="219"/>
      <c r="BK52" s="219"/>
      <c r="BN52" s="219"/>
      <c r="BO52" s="220"/>
      <c r="BP52" s="220"/>
      <c r="BQ52" s="220"/>
      <c r="BR52" s="219"/>
      <c r="BS52" s="220"/>
      <c r="BT52" s="220"/>
      <c r="BU52" s="220"/>
      <c r="BV52" s="219"/>
      <c r="BW52" s="220"/>
      <c r="BX52" s="220"/>
      <c r="BY52" s="220"/>
      <c r="BZ52" s="219"/>
      <c r="CA52" s="220"/>
      <c r="CB52" s="220"/>
      <c r="CC52" s="220"/>
      <c r="CD52" s="219"/>
      <c r="CE52" s="220"/>
      <c r="CF52" s="220"/>
    </row>
    <row r="53" spans="1:91" s="4" customFormat="1">
      <c r="BO53" s="220"/>
      <c r="BP53" s="220"/>
      <c r="BQ53" s="220"/>
      <c r="BR53" s="220"/>
      <c r="BS53" s="220"/>
      <c r="BT53" s="220"/>
      <c r="BU53" s="220"/>
      <c r="BV53" s="220"/>
      <c r="BW53" s="220"/>
      <c r="BX53" s="220"/>
      <c r="BY53" s="220"/>
      <c r="BZ53" s="220"/>
      <c r="CA53" s="220"/>
      <c r="CB53" s="220"/>
      <c r="CC53" s="220"/>
      <c r="CD53" s="220"/>
      <c r="CE53" s="220"/>
      <c r="CF53" s="220"/>
    </row>
    <row r="54" spans="1:91" s="4" customFormat="1">
      <c r="BO54" s="220"/>
      <c r="BP54" s="220"/>
      <c r="BQ54" s="220"/>
      <c r="BR54" s="220"/>
      <c r="BS54" s="220"/>
      <c r="BT54" s="220"/>
      <c r="BU54" s="220"/>
      <c r="BV54" s="220"/>
      <c r="BW54" s="220"/>
      <c r="BX54" s="220"/>
      <c r="BY54" s="220"/>
      <c r="BZ54" s="220"/>
      <c r="CA54" s="220"/>
      <c r="CB54" s="220"/>
      <c r="CC54" s="220"/>
      <c r="CD54" s="220"/>
      <c r="CE54" s="220"/>
      <c r="CF54" s="220"/>
    </row>
    <row r="55" spans="1:91" s="4" customFormat="1">
      <c r="BO55" s="220"/>
      <c r="BP55" s="220"/>
      <c r="BQ55" s="220"/>
      <c r="BR55" s="220"/>
      <c r="BS55" s="220"/>
      <c r="BT55" s="220"/>
      <c r="BU55" s="220"/>
      <c r="BV55" s="220"/>
      <c r="BW55" s="220"/>
      <c r="BX55" s="220"/>
      <c r="BY55" s="220"/>
      <c r="BZ55" s="220"/>
      <c r="CA55" s="220"/>
      <c r="CB55" s="220"/>
      <c r="CC55" s="220"/>
      <c r="CD55" s="220"/>
      <c r="CE55" s="220"/>
      <c r="CF55" s="220"/>
    </row>
    <row r="56" spans="1:91" s="4" customFormat="1">
      <c r="BO56" s="220"/>
      <c r="BP56" s="220"/>
      <c r="BQ56" s="220"/>
      <c r="BR56" s="220"/>
      <c r="BS56" s="220"/>
      <c r="BT56" s="220"/>
      <c r="BU56" s="220"/>
      <c r="BV56" s="220"/>
      <c r="BW56" s="220"/>
      <c r="BX56" s="220"/>
      <c r="BY56" s="220"/>
      <c r="BZ56" s="220"/>
      <c r="CA56" s="220"/>
      <c r="CB56" s="220"/>
      <c r="CC56" s="220"/>
      <c r="CD56" s="220"/>
      <c r="CE56" s="220"/>
      <c r="CF56" s="220"/>
    </row>
    <row r="57" spans="1:91" s="4" customFormat="1">
      <c r="BO57" s="220"/>
      <c r="BP57" s="220"/>
      <c r="BQ57" s="220"/>
      <c r="BR57" s="220"/>
      <c r="BS57" s="220"/>
      <c r="BT57" s="220"/>
      <c r="BU57" s="220"/>
      <c r="BV57" s="220"/>
      <c r="BW57" s="220"/>
      <c r="BX57" s="220"/>
      <c r="BY57" s="220"/>
      <c r="BZ57" s="220"/>
      <c r="CA57" s="220"/>
      <c r="CB57" s="220"/>
      <c r="CC57" s="220"/>
      <c r="CD57" s="220"/>
      <c r="CE57" s="220"/>
      <c r="CF57" s="220"/>
    </row>
    <row r="58" spans="1:91" s="4" customFormat="1">
      <c r="BO58" s="220"/>
      <c r="BP58" s="220"/>
      <c r="BQ58" s="220"/>
      <c r="BR58" s="220"/>
      <c r="BS58" s="220"/>
      <c r="BT58" s="220"/>
      <c r="BU58" s="220"/>
      <c r="BV58" s="220"/>
      <c r="BW58" s="220"/>
      <c r="BX58" s="220"/>
      <c r="BY58" s="220"/>
      <c r="BZ58" s="220"/>
      <c r="CA58" s="220"/>
      <c r="CB58" s="220"/>
      <c r="CC58" s="220"/>
      <c r="CD58" s="220"/>
      <c r="CE58" s="220"/>
      <c r="CF58" s="220"/>
    </row>
    <row r="59" spans="1:91" s="4" customFormat="1">
      <c r="BO59" s="220"/>
      <c r="BP59" s="220"/>
      <c r="BQ59" s="220"/>
      <c r="BR59" s="220"/>
      <c r="BS59" s="220"/>
      <c r="BT59" s="220"/>
      <c r="BU59" s="220"/>
      <c r="BV59" s="220"/>
      <c r="BW59" s="220"/>
      <c r="BX59" s="220"/>
      <c r="BY59" s="220"/>
      <c r="BZ59" s="220"/>
      <c r="CA59" s="220"/>
      <c r="CB59" s="220"/>
      <c r="CC59" s="220"/>
      <c r="CD59" s="220"/>
      <c r="CE59" s="220"/>
      <c r="CF59" s="220"/>
    </row>
    <row r="60" spans="1:91" s="4" customFormat="1">
      <c r="BO60" s="220"/>
      <c r="BP60" s="220"/>
      <c r="BQ60" s="220"/>
      <c r="BR60" s="220"/>
      <c r="BS60" s="220"/>
      <c r="BT60" s="220"/>
      <c r="BU60" s="220"/>
      <c r="BV60" s="220"/>
      <c r="BW60" s="220"/>
      <c r="BX60" s="220"/>
      <c r="BY60" s="220"/>
      <c r="BZ60" s="220"/>
      <c r="CA60" s="220"/>
      <c r="CB60" s="220"/>
      <c r="CC60" s="220"/>
      <c r="CD60" s="220"/>
      <c r="CE60" s="220"/>
      <c r="CF60" s="220"/>
    </row>
    <row r="61" spans="1:91" s="4" customFormat="1">
      <c r="BO61" s="220"/>
      <c r="BP61" s="220"/>
      <c r="BQ61" s="220"/>
      <c r="BR61" s="220"/>
      <c r="BS61" s="220"/>
      <c r="BT61" s="220"/>
      <c r="BU61" s="220"/>
      <c r="BV61" s="220"/>
      <c r="BW61" s="220"/>
      <c r="BX61" s="220"/>
      <c r="BY61" s="220"/>
      <c r="BZ61" s="220"/>
      <c r="CA61" s="220"/>
      <c r="CB61" s="220"/>
      <c r="CC61" s="220"/>
      <c r="CD61" s="220"/>
      <c r="CE61" s="220"/>
      <c r="CF61" s="220"/>
    </row>
    <row r="62" spans="1:91" s="4" customFormat="1">
      <c r="BO62" s="220"/>
      <c r="BP62" s="220"/>
      <c r="BQ62" s="220"/>
      <c r="BR62" s="220"/>
      <c r="BS62" s="220"/>
      <c r="BT62" s="220"/>
      <c r="BU62" s="220"/>
      <c r="BV62" s="220"/>
      <c r="BW62" s="220"/>
      <c r="BX62" s="220"/>
      <c r="BY62" s="220"/>
      <c r="BZ62" s="220"/>
      <c r="CA62" s="220"/>
      <c r="CB62" s="220"/>
      <c r="CC62" s="220"/>
      <c r="CD62" s="220"/>
      <c r="CE62" s="220"/>
      <c r="CF62" s="220"/>
    </row>
    <row r="63" spans="1:91" s="4" customFormat="1">
      <c r="BO63" s="220"/>
      <c r="BP63" s="220"/>
      <c r="BQ63" s="220"/>
      <c r="BR63" s="220"/>
      <c r="BS63" s="220"/>
      <c r="BT63" s="220"/>
      <c r="BU63" s="220"/>
      <c r="BV63" s="220"/>
      <c r="BW63" s="220"/>
      <c r="BX63" s="220"/>
      <c r="BY63" s="220"/>
      <c r="BZ63" s="220"/>
      <c r="CA63" s="220"/>
      <c r="CB63" s="220"/>
      <c r="CC63" s="220"/>
      <c r="CD63" s="220"/>
      <c r="CE63" s="220"/>
      <c r="CF63" s="220"/>
    </row>
    <row r="64" spans="1:91" s="4" customFormat="1">
      <c r="BO64" s="220"/>
      <c r="BP64" s="220"/>
      <c r="BQ64" s="220"/>
      <c r="BR64" s="220"/>
      <c r="BS64" s="220"/>
      <c r="BT64" s="220"/>
      <c r="BU64" s="220"/>
      <c r="BV64" s="220"/>
      <c r="BW64" s="220"/>
      <c r="BX64" s="220"/>
      <c r="BY64" s="220"/>
      <c r="BZ64" s="220"/>
      <c r="CA64" s="220"/>
      <c r="CB64" s="220"/>
      <c r="CC64" s="220"/>
      <c r="CD64" s="220"/>
      <c r="CE64" s="220"/>
      <c r="CF64" s="220"/>
    </row>
    <row r="65" spans="67:84" s="4" customFormat="1">
      <c r="BO65" s="220"/>
      <c r="BP65" s="220"/>
      <c r="BQ65" s="220"/>
      <c r="BR65" s="220"/>
      <c r="BS65" s="220"/>
      <c r="BT65" s="220"/>
      <c r="BU65" s="220"/>
      <c r="BV65" s="220"/>
      <c r="BW65" s="220"/>
      <c r="BX65" s="220"/>
      <c r="BY65" s="220"/>
      <c r="BZ65" s="220"/>
      <c r="CA65" s="220"/>
      <c r="CB65" s="220"/>
      <c r="CC65" s="220"/>
      <c r="CD65" s="220"/>
      <c r="CE65" s="220"/>
      <c r="CF65" s="220"/>
    </row>
    <row r="66" spans="67:84" s="4" customFormat="1">
      <c r="BO66" s="220"/>
      <c r="BP66" s="220"/>
      <c r="BQ66" s="220"/>
      <c r="BR66" s="220"/>
      <c r="BS66" s="220"/>
      <c r="BT66" s="220"/>
      <c r="BU66" s="220"/>
      <c r="BV66" s="220"/>
      <c r="BW66" s="220"/>
      <c r="BX66" s="220"/>
      <c r="BY66" s="220"/>
      <c r="BZ66" s="220"/>
      <c r="CA66" s="220"/>
      <c r="CB66" s="220"/>
      <c r="CC66" s="220"/>
      <c r="CD66" s="220"/>
      <c r="CE66" s="220"/>
      <c r="CF66" s="220"/>
    </row>
    <row r="67" spans="67:84" s="4" customFormat="1">
      <c r="BO67" s="220"/>
      <c r="BP67" s="220"/>
      <c r="BQ67" s="220"/>
      <c r="BR67" s="220"/>
      <c r="BS67" s="220"/>
      <c r="BT67" s="220"/>
      <c r="BU67" s="220"/>
      <c r="BV67" s="220"/>
      <c r="BW67" s="220"/>
      <c r="BX67" s="220"/>
      <c r="BY67" s="220"/>
      <c r="BZ67" s="220"/>
      <c r="CA67" s="220"/>
      <c r="CB67" s="220"/>
      <c r="CC67" s="220"/>
      <c r="CD67" s="220"/>
      <c r="CE67" s="220"/>
      <c r="CF67" s="220"/>
    </row>
    <row r="68" spans="67:84" s="4" customFormat="1">
      <c r="BO68" s="220"/>
      <c r="BP68" s="220"/>
      <c r="BQ68" s="220"/>
      <c r="BR68" s="220"/>
      <c r="BS68" s="220"/>
      <c r="BT68" s="220"/>
      <c r="BU68" s="220"/>
      <c r="BV68" s="220"/>
      <c r="BW68" s="220"/>
      <c r="BX68" s="220"/>
      <c r="BY68" s="220"/>
      <c r="BZ68" s="220"/>
      <c r="CA68" s="220"/>
      <c r="CB68" s="220"/>
      <c r="CC68" s="220"/>
      <c r="CD68" s="220"/>
      <c r="CE68" s="220"/>
      <c r="CF68" s="220"/>
    </row>
    <row r="69" spans="67:84" s="4" customFormat="1">
      <c r="BO69" s="220"/>
      <c r="BP69" s="220"/>
      <c r="BQ69" s="220"/>
      <c r="BR69" s="220"/>
      <c r="BS69" s="220"/>
      <c r="BT69" s="220"/>
      <c r="BU69" s="220"/>
      <c r="BV69" s="220"/>
      <c r="BW69" s="220"/>
      <c r="BX69" s="220"/>
      <c r="BY69" s="220"/>
      <c r="BZ69" s="220"/>
      <c r="CA69" s="220"/>
      <c r="CB69" s="220"/>
      <c r="CC69" s="220"/>
      <c r="CD69" s="220"/>
      <c r="CE69" s="220"/>
      <c r="CF69" s="220"/>
    </row>
    <row r="70" spans="67:84" s="4" customFormat="1">
      <c r="BO70" s="220"/>
      <c r="BP70" s="220"/>
      <c r="BQ70" s="220"/>
      <c r="BR70" s="220"/>
      <c r="BS70" s="220"/>
      <c r="BT70" s="220"/>
      <c r="BU70" s="220"/>
      <c r="BV70" s="220"/>
      <c r="BW70" s="220"/>
      <c r="BX70" s="220"/>
      <c r="BY70" s="220"/>
      <c r="BZ70" s="220"/>
      <c r="CA70" s="220"/>
      <c r="CB70" s="220"/>
      <c r="CC70" s="220"/>
      <c r="CD70" s="220"/>
      <c r="CE70" s="220"/>
      <c r="CF70" s="220"/>
    </row>
    <row r="71" spans="67:84" s="4" customFormat="1">
      <c r="BO71" s="220"/>
      <c r="BP71" s="220"/>
      <c r="BQ71" s="220"/>
      <c r="BR71" s="220"/>
      <c r="BS71" s="220"/>
      <c r="BT71" s="220"/>
      <c r="BU71" s="220"/>
      <c r="BV71" s="220"/>
      <c r="BW71" s="220"/>
      <c r="BX71" s="220"/>
      <c r="BY71" s="220"/>
      <c r="BZ71" s="220"/>
      <c r="CA71" s="220"/>
      <c r="CB71" s="220"/>
      <c r="CC71" s="220"/>
      <c r="CD71" s="220"/>
      <c r="CE71" s="220"/>
      <c r="CF71" s="220"/>
    </row>
    <row r="72" spans="67:84" s="4" customFormat="1">
      <c r="BO72" s="220"/>
      <c r="BP72" s="220"/>
      <c r="BQ72" s="220"/>
      <c r="BR72" s="220"/>
      <c r="BS72" s="220"/>
      <c r="BT72" s="220"/>
      <c r="BU72" s="220"/>
      <c r="BV72" s="220"/>
      <c r="BW72" s="220"/>
      <c r="BX72" s="220"/>
      <c r="BY72" s="220"/>
      <c r="BZ72" s="220"/>
      <c r="CA72" s="220"/>
      <c r="CB72" s="220"/>
      <c r="CC72" s="220"/>
      <c r="CD72" s="220"/>
      <c r="CE72" s="220"/>
      <c r="CF72" s="220"/>
    </row>
    <row r="73" spans="67:84" s="4" customFormat="1">
      <c r="BO73" s="220"/>
      <c r="BP73" s="220"/>
      <c r="BQ73" s="220"/>
      <c r="BR73" s="220"/>
      <c r="BS73" s="220"/>
      <c r="BT73" s="220"/>
      <c r="BU73" s="220"/>
      <c r="BV73" s="220"/>
      <c r="BW73" s="220"/>
      <c r="BX73" s="220"/>
      <c r="BY73" s="220"/>
      <c r="BZ73" s="220"/>
      <c r="CA73" s="220"/>
      <c r="CB73" s="220"/>
      <c r="CC73" s="220"/>
      <c r="CD73" s="220"/>
      <c r="CE73" s="220"/>
      <c r="CF73" s="220"/>
    </row>
    <row r="74" spans="67:84" s="4" customFormat="1">
      <c r="BO74" s="220"/>
      <c r="BP74" s="220"/>
      <c r="BQ74" s="220"/>
      <c r="BR74" s="220"/>
      <c r="BS74" s="220"/>
      <c r="BT74" s="220"/>
      <c r="BU74" s="220"/>
      <c r="BV74" s="220"/>
      <c r="BW74" s="220"/>
      <c r="BX74" s="220"/>
      <c r="BY74" s="220"/>
      <c r="BZ74" s="220"/>
      <c r="CA74" s="220"/>
      <c r="CB74" s="220"/>
      <c r="CC74" s="220"/>
      <c r="CD74" s="220"/>
      <c r="CE74" s="220"/>
      <c r="CF74" s="220"/>
    </row>
    <row r="75" spans="67:84" s="4" customFormat="1">
      <c r="BO75" s="220"/>
      <c r="BP75" s="220"/>
      <c r="BQ75" s="220"/>
      <c r="BR75" s="220"/>
      <c r="BS75" s="220"/>
      <c r="BT75" s="220"/>
      <c r="BU75" s="220"/>
      <c r="BV75" s="220"/>
      <c r="BW75" s="220"/>
      <c r="BX75" s="220"/>
      <c r="BY75" s="220"/>
      <c r="BZ75" s="220"/>
      <c r="CA75" s="220"/>
      <c r="CB75" s="220"/>
      <c r="CC75" s="220"/>
      <c r="CD75" s="220"/>
      <c r="CE75" s="220"/>
      <c r="CF75" s="220"/>
    </row>
    <row r="76" spans="67:84" s="4" customFormat="1">
      <c r="BO76" s="220"/>
      <c r="BP76" s="220"/>
      <c r="BQ76" s="220"/>
      <c r="BR76" s="220"/>
      <c r="BS76" s="220"/>
      <c r="BT76" s="220"/>
      <c r="BU76" s="220"/>
      <c r="BV76" s="220"/>
      <c r="BW76" s="220"/>
      <c r="BX76" s="220"/>
      <c r="BY76" s="220"/>
      <c r="BZ76" s="220"/>
      <c r="CA76" s="220"/>
      <c r="CB76" s="220"/>
      <c r="CC76" s="220"/>
      <c r="CD76" s="220"/>
      <c r="CE76" s="220"/>
      <c r="CF76" s="220"/>
    </row>
    <row r="77" spans="67:84" s="4" customFormat="1">
      <c r="BO77" s="220"/>
      <c r="BP77" s="220"/>
      <c r="BQ77" s="220"/>
      <c r="BR77" s="220"/>
      <c r="BS77" s="220"/>
      <c r="BT77" s="220"/>
      <c r="BU77" s="220"/>
      <c r="BV77" s="220"/>
      <c r="BW77" s="220"/>
      <c r="BX77" s="220"/>
      <c r="BY77" s="220"/>
      <c r="BZ77" s="220"/>
      <c r="CA77" s="220"/>
      <c r="CB77" s="220"/>
      <c r="CC77" s="220"/>
      <c r="CD77" s="220"/>
      <c r="CE77" s="220"/>
      <c r="CF77" s="220"/>
    </row>
    <row r="78" spans="67:84" s="4" customFormat="1">
      <c r="BO78" s="220"/>
      <c r="BP78" s="220"/>
      <c r="BQ78" s="220"/>
      <c r="BR78" s="220"/>
      <c r="BS78" s="220"/>
      <c r="BT78" s="220"/>
      <c r="BU78" s="220"/>
      <c r="BV78" s="220"/>
      <c r="BW78" s="220"/>
      <c r="BX78" s="220"/>
      <c r="BY78" s="220"/>
      <c r="BZ78" s="220"/>
      <c r="CA78" s="220"/>
      <c r="CB78" s="220"/>
      <c r="CC78" s="220"/>
      <c r="CD78" s="220"/>
      <c r="CE78" s="220"/>
      <c r="CF78" s="220"/>
    </row>
    <row r="79" spans="67:84" s="4" customFormat="1">
      <c r="BO79" s="220"/>
      <c r="BP79" s="220"/>
      <c r="BQ79" s="220"/>
      <c r="BR79" s="220"/>
      <c r="BS79" s="220"/>
      <c r="BT79" s="220"/>
      <c r="BU79" s="220"/>
      <c r="BV79" s="220"/>
      <c r="BW79" s="220"/>
      <c r="BX79" s="220"/>
      <c r="BY79" s="220"/>
      <c r="BZ79" s="220"/>
      <c r="CA79" s="220"/>
      <c r="CB79" s="220"/>
      <c r="CC79" s="220"/>
      <c r="CD79" s="220"/>
      <c r="CE79" s="220"/>
      <c r="CF79" s="220"/>
    </row>
    <row r="80" spans="67:84" s="4" customFormat="1">
      <c r="BO80" s="220"/>
      <c r="BP80" s="220"/>
      <c r="BQ80" s="220"/>
      <c r="BR80" s="220"/>
      <c r="BS80" s="220"/>
      <c r="BT80" s="220"/>
      <c r="BU80" s="220"/>
      <c r="BV80" s="220"/>
      <c r="BW80" s="220"/>
      <c r="BX80" s="220"/>
      <c r="BY80" s="220"/>
      <c r="BZ80" s="220"/>
      <c r="CA80" s="220"/>
      <c r="CB80" s="220"/>
      <c r="CC80" s="220"/>
      <c r="CD80" s="220"/>
      <c r="CE80" s="220"/>
      <c r="CF80" s="220"/>
    </row>
    <row r="81" spans="67:84" s="4" customFormat="1">
      <c r="BO81" s="220"/>
      <c r="BP81" s="220"/>
      <c r="BQ81" s="220"/>
      <c r="BR81" s="220"/>
      <c r="BS81" s="220"/>
      <c r="BT81" s="220"/>
      <c r="BU81" s="220"/>
      <c r="BV81" s="220"/>
      <c r="BW81" s="220"/>
      <c r="BX81" s="220"/>
      <c r="BY81" s="220"/>
      <c r="BZ81" s="220"/>
      <c r="CA81" s="220"/>
      <c r="CB81" s="220"/>
      <c r="CC81" s="220"/>
      <c r="CD81" s="220"/>
      <c r="CE81" s="220"/>
      <c r="CF81" s="220"/>
    </row>
    <row r="82" spans="67:84" s="4" customFormat="1">
      <c r="BO82" s="220"/>
      <c r="BP82" s="220"/>
      <c r="BQ82" s="220"/>
      <c r="BR82" s="220"/>
      <c r="BS82" s="220"/>
      <c r="BT82" s="220"/>
      <c r="BU82" s="220"/>
      <c r="BV82" s="220"/>
      <c r="BW82" s="220"/>
      <c r="BX82" s="220"/>
      <c r="BY82" s="220"/>
      <c r="BZ82" s="220"/>
      <c r="CA82" s="220"/>
      <c r="CB82" s="220"/>
      <c r="CC82" s="220"/>
      <c r="CD82" s="220"/>
      <c r="CE82" s="220"/>
      <c r="CF82" s="220"/>
    </row>
    <row r="83" spans="67:84" s="4" customFormat="1">
      <c r="BO83" s="220"/>
      <c r="BP83" s="220"/>
      <c r="BQ83" s="220"/>
      <c r="BR83" s="220"/>
      <c r="BS83" s="220"/>
      <c r="BT83" s="220"/>
      <c r="BU83" s="220"/>
      <c r="BV83" s="220"/>
      <c r="BW83" s="220"/>
      <c r="BX83" s="220"/>
      <c r="BY83" s="220"/>
      <c r="BZ83" s="220"/>
      <c r="CA83" s="220"/>
      <c r="CB83" s="220"/>
      <c r="CC83" s="220"/>
      <c r="CD83" s="220"/>
      <c r="CE83" s="220"/>
      <c r="CF83" s="220"/>
    </row>
    <row r="84" spans="67:84" s="4" customFormat="1">
      <c r="BO84" s="220"/>
      <c r="BP84" s="220"/>
      <c r="BQ84" s="220"/>
      <c r="BR84" s="220"/>
      <c r="BS84" s="220"/>
      <c r="BT84" s="220"/>
      <c r="BU84" s="220"/>
      <c r="BV84" s="220"/>
      <c r="BW84" s="220"/>
      <c r="BX84" s="220"/>
      <c r="BY84" s="220"/>
      <c r="BZ84" s="220"/>
      <c r="CA84" s="220"/>
      <c r="CB84" s="220"/>
      <c r="CC84" s="220"/>
      <c r="CD84" s="220"/>
      <c r="CE84" s="220"/>
      <c r="CF84" s="220"/>
    </row>
    <row r="85" spans="67:84" s="4" customFormat="1">
      <c r="BO85" s="220"/>
      <c r="BP85" s="220"/>
      <c r="BQ85" s="220"/>
      <c r="BR85" s="220"/>
      <c r="BS85" s="220"/>
      <c r="BT85" s="220"/>
      <c r="BU85" s="220"/>
      <c r="BV85" s="220"/>
      <c r="BW85" s="220"/>
      <c r="BX85" s="220"/>
      <c r="BY85" s="220"/>
      <c r="BZ85" s="220"/>
      <c r="CA85" s="220"/>
      <c r="CB85" s="220"/>
      <c r="CC85" s="220"/>
      <c r="CD85" s="220"/>
      <c r="CE85" s="220"/>
      <c r="CF85" s="220"/>
    </row>
    <row r="86" spans="67:84" s="4" customFormat="1">
      <c r="BO86" s="220"/>
      <c r="BP86" s="220"/>
      <c r="BQ86" s="220"/>
      <c r="BR86" s="220"/>
      <c r="BS86" s="220"/>
      <c r="BT86" s="220"/>
      <c r="BU86" s="220"/>
      <c r="BV86" s="220"/>
      <c r="BW86" s="220"/>
      <c r="BX86" s="220"/>
      <c r="BY86" s="220"/>
      <c r="BZ86" s="220"/>
      <c r="CA86" s="220"/>
      <c r="CB86" s="220"/>
      <c r="CC86" s="220"/>
      <c r="CD86" s="220"/>
      <c r="CE86" s="220"/>
      <c r="CF86" s="220"/>
    </row>
    <row r="87" spans="67:84" s="4" customFormat="1">
      <c r="BO87" s="220"/>
      <c r="BP87" s="220"/>
      <c r="BQ87" s="220"/>
      <c r="BR87" s="220"/>
      <c r="BS87" s="220"/>
      <c r="BT87" s="220"/>
      <c r="BU87" s="220"/>
      <c r="BV87" s="220"/>
      <c r="BW87" s="220"/>
      <c r="BX87" s="220"/>
      <c r="BY87" s="220"/>
      <c r="BZ87" s="220"/>
      <c r="CA87" s="220"/>
      <c r="CB87" s="220"/>
      <c r="CC87" s="220"/>
      <c r="CD87" s="220"/>
      <c r="CE87" s="220"/>
      <c r="CF87" s="220"/>
    </row>
    <row r="88" spans="67:84" s="4" customFormat="1">
      <c r="BO88" s="220"/>
      <c r="BP88" s="220"/>
      <c r="BQ88" s="220"/>
      <c r="BR88" s="220"/>
      <c r="BS88" s="220"/>
      <c r="BT88" s="220"/>
      <c r="BU88" s="220"/>
      <c r="BV88" s="220"/>
      <c r="BW88" s="220"/>
      <c r="BX88" s="220"/>
      <c r="BY88" s="220"/>
      <c r="BZ88" s="220"/>
      <c r="CA88" s="220"/>
      <c r="CB88" s="220"/>
      <c r="CC88" s="220"/>
      <c r="CD88" s="220"/>
      <c r="CE88" s="220"/>
      <c r="CF88" s="220"/>
    </row>
    <row r="89" spans="67:84" s="4" customFormat="1">
      <c r="BO89" s="220"/>
      <c r="BP89" s="220"/>
      <c r="BQ89" s="220"/>
      <c r="BR89" s="220"/>
      <c r="BS89" s="220"/>
      <c r="BT89" s="220"/>
      <c r="BU89" s="220"/>
      <c r="BV89" s="220"/>
      <c r="BW89" s="220"/>
      <c r="BX89" s="220"/>
      <c r="BY89" s="220"/>
      <c r="BZ89" s="220"/>
      <c r="CA89" s="220"/>
      <c r="CB89" s="220"/>
      <c r="CC89" s="220"/>
      <c r="CD89" s="220"/>
      <c r="CE89" s="220"/>
      <c r="CF89" s="220"/>
    </row>
    <row r="90" spans="67:84" s="4" customFormat="1">
      <c r="BO90" s="220"/>
      <c r="BP90" s="220"/>
      <c r="BQ90" s="220"/>
      <c r="BR90" s="220"/>
      <c r="BS90" s="220"/>
      <c r="BT90" s="220"/>
      <c r="BU90" s="220"/>
      <c r="BV90" s="220"/>
      <c r="BW90" s="220"/>
      <c r="BX90" s="220"/>
      <c r="BY90" s="220"/>
      <c r="BZ90" s="220"/>
      <c r="CA90" s="220"/>
      <c r="CB90" s="220"/>
      <c r="CC90" s="220"/>
      <c r="CD90" s="220"/>
      <c r="CE90" s="220"/>
      <c r="CF90" s="220"/>
    </row>
    <row r="91" spans="67:84" s="4" customFormat="1">
      <c r="BO91" s="220"/>
      <c r="BP91" s="220"/>
      <c r="BQ91" s="220"/>
      <c r="BR91" s="220"/>
      <c r="BS91" s="220"/>
      <c r="BT91" s="220"/>
      <c r="BU91" s="220"/>
      <c r="BV91" s="220"/>
      <c r="BW91" s="220"/>
      <c r="BX91" s="220"/>
      <c r="BY91" s="220"/>
      <c r="BZ91" s="220"/>
      <c r="CA91" s="220"/>
      <c r="CB91" s="220"/>
      <c r="CC91" s="220"/>
      <c r="CD91" s="220"/>
      <c r="CE91" s="220"/>
      <c r="CF91" s="220"/>
    </row>
    <row r="92" spans="67:84" s="4" customFormat="1">
      <c r="BO92" s="220"/>
      <c r="BP92" s="220"/>
      <c r="BQ92" s="220"/>
      <c r="BR92" s="220"/>
      <c r="BS92" s="220"/>
      <c r="BT92" s="220"/>
      <c r="BU92" s="220"/>
      <c r="BV92" s="220"/>
      <c r="BW92" s="220"/>
      <c r="BX92" s="220"/>
      <c r="BY92" s="220"/>
      <c r="BZ92" s="220"/>
      <c r="CA92" s="220"/>
      <c r="CB92" s="220"/>
      <c r="CC92" s="220"/>
      <c r="CD92" s="220"/>
      <c r="CE92" s="220"/>
      <c r="CF92" s="220"/>
    </row>
    <row r="93" spans="67:84" s="4" customFormat="1">
      <c r="BO93" s="220"/>
      <c r="BP93" s="220"/>
      <c r="BQ93" s="220"/>
      <c r="BR93" s="220"/>
      <c r="BS93" s="220"/>
      <c r="BT93" s="220"/>
      <c r="BU93" s="220"/>
      <c r="BV93" s="220"/>
      <c r="BW93" s="220"/>
      <c r="BX93" s="220"/>
      <c r="BY93" s="220"/>
      <c r="BZ93" s="220"/>
      <c r="CA93" s="220"/>
      <c r="CB93" s="220"/>
      <c r="CC93" s="220"/>
      <c r="CD93" s="220"/>
      <c r="CE93" s="220"/>
      <c r="CF93" s="220"/>
    </row>
    <row r="94" spans="67:84" s="4" customFormat="1">
      <c r="BO94" s="220"/>
      <c r="BP94" s="220"/>
      <c r="BQ94" s="220"/>
      <c r="BR94" s="220"/>
      <c r="BS94" s="220"/>
      <c r="BT94" s="220"/>
      <c r="BU94" s="220"/>
      <c r="BV94" s="220"/>
      <c r="BW94" s="220"/>
      <c r="BX94" s="220"/>
      <c r="BY94" s="220"/>
      <c r="BZ94" s="220"/>
      <c r="CA94" s="220"/>
      <c r="CB94" s="220"/>
      <c r="CC94" s="220"/>
      <c r="CD94" s="220"/>
      <c r="CE94" s="220"/>
      <c r="CF94" s="220"/>
    </row>
    <row r="95" spans="67:84" s="4" customFormat="1">
      <c r="BO95" s="220"/>
      <c r="BP95" s="220"/>
      <c r="BQ95" s="220"/>
      <c r="BR95" s="220"/>
      <c r="BS95" s="220"/>
      <c r="BT95" s="220"/>
      <c r="BU95" s="220"/>
      <c r="BV95" s="220"/>
      <c r="BW95" s="220"/>
      <c r="BX95" s="220"/>
      <c r="BY95" s="220"/>
      <c r="BZ95" s="220"/>
      <c r="CA95" s="220"/>
      <c r="CB95" s="220"/>
      <c r="CC95" s="220"/>
      <c r="CD95" s="220"/>
      <c r="CE95" s="220"/>
      <c r="CF95" s="220"/>
    </row>
    <row r="96" spans="67:84" s="4" customFormat="1">
      <c r="BO96" s="220"/>
      <c r="BP96" s="220"/>
      <c r="BQ96" s="220"/>
      <c r="BR96" s="220"/>
      <c r="BS96" s="220"/>
      <c r="BT96" s="220"/>
      <c r="BU96" s="220"/>
      <c r="BV96" s="220"/>
      <c r="BW96" s="220"/>
      <c r="BX96" s="220"/>
      <c r="BY96" s="220"/>
      <c r="BZ96" s="220"/>
      <c r="CA96" s="220"/>
      <c r="CB96" s="220"/>
      <c r="CC96" s="220"/>
      <c r="CD96" s="220"/>
      <c r="CE96" s="220"/>
      <c r="CF96" s="220"/>
    </row>
    <row r="97" spans="67:84" s="4" customFormat="1">
      <c r="BO97" s="220"/>
      <c r="BP97" s="220"/>
      <c r="BQ97" s="220"/>
      <c r="BR97" s="220"/>
      <c r="BS97" s="220"/>
      <c r="BT97" s="220"/>
      <c r="BU97" s="220"/>
      <c r="BV97" s="220"/>
      <c r="BW97" s="220"/>
      <c r="BX97" s="220"/>
      <c r="BY97" s="220"/>
      <c r="BZ97" s="220"/>
      <c r="CA97" s="220"/>
      <c r="CB97" s="220"/>
      <c r="CC97" s="220"/>
      <c r="CD97" s="220"/>
      <c r="CE97" s="220"/>
      <c r="CF97" s="220"/>
    </row>
    <row r="98" spans="67:84" s="4" customFormat="1">
      <c r="BO98" s="220"/>
      <c r="BP98" s="220"/>
      <c r="BQ98" s="220"/>
      <c r="BR98" s="220"/>
      <c r="BS98" s="220"/>
      <c r="BT98" s="220"/>
      <c r="BU98" s="220"/>
      <c r="BV98" s="220"/>
      <c r="BW98" s="220"/>
      <c r="BX98" s="220"/>
      <c r="BY98" s="220"/>
      <c r="BZ98" s="220"/>
      <c r="CA98" s="220"/>
      <c r="CB98" s="220"/>
      <c r="CC98" s="220"/>
      <c r="CD98" s="220"/>
      <c r="CE98" s="220"/>
      <c r="CF98" s="220"/>
    </row>
    <row r="99" spans="67:84" s="4" customFormat="1">
      <c r="BO99" s="220"/>
      <c r="BP99" s="220"/>
      <c r="BQ99" s="220"/>
      <c r="BR99" s="220"/>
      <c r="BS99" s="220"/>
      <c r="BT99" s="220"/>
      <c r="BU99" s="220"/>
      <c r="BV99" s="220"/>
      <c r="BW99" s="220"/>
      <c r="BX99" s="220"/>
      <c r="BY99" s="220"/>
      <c r="BZ99" s="220"/>
      <c r="CA99" s="220"/>
      <c r="CB99" s="220"/>
      <c r="CC99" s="220"/>
      <c r="CD99" s="220"/>
      <c r="CE99" s="220"/>
      <c r="CF99" s="220"/>
    </row>
    <row r="100" spans="67:84" s="4" customFormat="1">
      <c r="BO100" s="220"/>
      <c r="BP100" s="220"/>
      <c r="BQ100" s="220"/>
      <c r="BR100" s="220"/>
      <c r="BS100" s="220"/>
      <c r="BT100" s="220"/>
      <c r="BU100" s="220"/>
      <c r="BV100" s="220"/>
      <c r="BW100" s="220"/>
      <c r="BX100" s="220"/>
      <c r="BY100" s="220"/>
      <c r="BZ100" s="220"/>
      <c r="CA100" s="220"/>
      <c r="CB100" s="220"/>
      <c r="CC100" s="220"/>
      <c r="CD100" s="220"/>
      <c r="CE100" s="220"/>
      <c r="CF100" s="220"/>
    </row>
    <row r="101" spans="67:84" s="4" customFormat="1">
      <c r="BO101" s="220"/>
      <c r="BP101" s="220"/>
      <c r="BQ101" s="220"/>
      <c r="BR101" s="220"/>
      <c r="BS101" s="220"/>
      <c r="BT101" s="220"/>
      <c r="BU101" s="220"/>
      <c r="BV101" s="220"/>
      <c r="BW101" s="220"/>
      <c r="BX101" s="220"/>
      <c r="BY101" s="220"/>
      <c r="BZ101" s="220"/>
      <c r="CA101" s="220"/>
      <c r="CB101" s="220"/>
      <c r="CC101" s="220"/>
      <c r="CD101" s="220"/>
      <c r="CE101" s="220"/>
      <c r="CF101" s="220"/>
    </row>
    <row r="102" spans="67:84" s="4" customFormat="1">
      <c r="BO102" s="220"/>
      <c r="BP102" s="220"/>
      <c r="BQ102" s="220"/>
      <c r="BR102" s="220"/>
      <c r="BS102" s="220"/>
      <c r="BT102" s="220"/>
      <c r="BU102" s="220"/>
      <c r="BV102" s="220"/>
      <c r="BW102" s="220"/>
      <c r="BX102" s="220"/>
      <c r="BY102" s="220"/>
      <c r="BZ102" s="220"/>
      <c r="CA102" s="220"/>
      <c r="CB102" s="220"/>
      <c r="CC102" s="220"/>
      <c r="CD102" s="220"/>
      <c r="CE102" s="220"/>
      <c r="CF102" s="220"/>
    </row>
    <row r="103" spans="67:84" s="4" customFormat="1">
      <c r="BO103" s="220"/>
      <c r="BP103" s="220"/>
      <c r="BQ103" s="220"/>
      <c r="BR103" s="220"/>
      <c r="BS103" s="220"/>
      <c r="BT103" s="220"/>
      <c r="BU103" s="220"/>
      <c r="BV103" s="220"/>
      <c r="BW103" s="220"/>
      <c r="BX103" s="220"/>
      <c r="BY103" s="220"/>
      <c r="BZ103" s="220"/>
      <c r="CA103" s="220"/>
      <c r="CB103" s="220"/>
      <c r="CC103" s="220"/>
      <c r="CD103" s="220"/>
      <c r="CE103" s="220"/>
      <c r="CF103" s="220"/>
    </row>
    <row r="104" spans="67:84" s="4" customFormat="1">
      <c r="BO104" s="220"/>
      <c r="BP104" s="220"/>
      <c r="BQ104" s="220"/>
      <c r="BR104" s="220"/>
      <c r="BS104" s="220"/>
      <c r="BT104" s="220"/>
      <c r="BU104" s="220"/>
      <c r="BV104" s="220"/>
      <c r="BW104" s="220"/>
      <c r="BX104" s="220"/>
      <c r="BY104" s="220"/>
      <c r="BZ104" s="220"/>
      <c r="CA104" s="220"/>
      <c r="CB104" s="220"/>
      <c r="CC104" s="220"/>
      <c r="CD104" s="220"/>
      <c r="CE104" s="220"/>
      <c r="CF104" s="220"/>
    </row>
    <row r="105" spans="67:84" s="4" customFormat="1">
      <c r="BO105" s="220"/>
      <c r="BP105" s="220"/>
      <c r="BQ105" s="220"/>
      <c r="BR105" s="220"/>
      <c r="BS105" s="220"/>
      <c r="BT105" s="220"/>
      <c r="BU105" s="220"/>
      <c r="BV105" s="220"/>
      <c r="BW105" s="220"/>
      <c r="BX105" s="220"/>
      <c r="BY105" s="220"/>
      <c r="BZ105" s="220"/>
      <c r="CA105" s="220"/>
      <c r="CB105" s="220"/>
      <c r="CC105" s="220"/>
      <c r="CD105" s="220"/>
      <c r="CE105" s="220"/>
      <c r="CF105" s="220"/>
    </row>
    <row r="106" spans="67:84" s="4" customFormat="1">
      <c r="BO106" s="220"/>
      <c r="BP106" s="220"/>
      <c r="BQ106" s="220"/>
      <c r="BR106" s="220"/>
      <c r="BS106" s="220"/>
      <c r="BT106" s="220"/>
      <c r="BU106" s="220"/>
      <c r="BV106" s="220"/>
      <c r="BW106" s="220"/>
      <c r="BX106" s="220"/>
      <c r="BY106" s="220"/>
      <c r="BZ106" s="220"/>
      <c r="CA106" s="220"/>
      <c r="CB106" s="220"/>
      <c r="CC106" s="220"/>
      <c r="CD106" s="220"/>
      <c r="CE106" s="220"/>
      <c r="CF106" s="220"/>
    </row>
    <row r="107" spans="67:84" s="4" customFormat="1">
      <c r="BO107" s="220"/>
      <c r="BP107" s="220"/>
      <c r="BQ107" s="220"/>
      <c r="BR107" s="220"/>
      <c r="BS107" s="220"/>
      <c r="BT107" s="220"/>
      <c r="BU107" s="220"/>
      <c r="BV107" s="220"/>
      <c r="BW107" s="220"/>
      <c r="BX107" s="220"/>
      <c r="BY107" s="220"/>
      <c r="BZ107" s="220"/>
      <c r="CA107" s="220"/>
      <c r="CB107" s="220"/>
      <c r="CC107" s="220"/>
      <c r="CD107" s="220"/>
      <c r="CE107" s="220"/>
      <c r="CF107" s="220"/>
    </row>
    <row r="108" spans="67:84" s="4" customFormat="1">
      <c r="BO108" s="220"/>
      <c r="BP108" s="220"/>
      <c r="BQ108" s="220"/>
      <c r="BR108" s="220"/>
      <c r="BS108" s="220"/>
      <c r="BT108" s="220"/>
      <c r="BU108" s="220"/>
      <c r="BV108" s="220"/>
      <c r="BW108" s="220"/>
      <c r="BX108" s="220"/>
      <c r="BY108" s="220"/>
      <c r="BZ108" s="220"/>
      <c r="CA108" s="220"/>
      <c r="CB108" s="220"/>
      <c r="CC108" s="220"/>
      <c r="CD108" s="220"/>
      <c r="CE108" s="220"/>
      <c r="CF108" s="220"/>
    </row>
    <row r="109" spans="67:84" s="4" customFormat="1">
      <c r="BO109" s="220"/>
      <c r="BP109" s="220"/>
      <c r="BQ109" s="220"/>
      <c r="BR109" s="220"/>
      <c r="BS109" s="220"/>
      <c r="BT109" s="220"/>
      <c r="BU109" s="220"/>
      <c r="BV109" s="220"/>
      <c r="BW109" s="220"/>
      <c r="BX109" s="220"/>
      <c r="BY109" s="220"/>
      <c r="BZ109" s="220"/>
      <c r="CA109" s="220"/>
      <c r="CB109" s="220"/>
      <c r="CC109" s="220"/>
      <c r="CD109" s="220"/>
      <c r="CE109" s="220"/>
      <c r="CF109" s="220"/>
    </row>
    <row r="110" spans="67:84" s="4" customFormat="1">
      <c r="BO110" s="220"/>
      <c r="BP110" s="220"/>
      <c r="BQ110" s="220"/>
      <c r="BR110" s="220"/>
      <c r="BS110" s="220"/>
      <c r="BT110" s="220"/>
      <c r="BU110" s="220"/>
      <c r="BV110" s="220"/>
      <c r="BW110" s="220"/>
      <c r="BX110" s="220"/>
      <c r="BY110" s="220"/>
      <c r="BZ110" s="220"/>
      <c r="CA110" s="220"/>
      <c r="CB110" s="220"/>
      <c r="CC110" s="220"/>
      <c r="CD110" s="220"/>
      <c r="CE110" s="220"/>
      <c r="CF110" s="220"/>
    </row>
    <row r="111" spans="67:84" s="4" customFormat="1">
      <c r="BO111" s="220"/>
      <c r="BP111" s="220"/>
      <c r="BQ111" s="220"/>
      <c r="BR111" s="220"/>
      <c r="BS111" s="220"/>
      <c r="BT111" s="220"/>
      <c r="BU111" s="220"/>
      <c r="BV111" s="220"/>
      <c r="BW111" s="220"/>
      <c r="BX111" s="220"/>
      <c r="BY111" s="220"/>
      <c r="BZ111" s="220"/>
      <c r="CA111" s="220"/>
      <c r="CB111" s="220"/>
      <c r="CC111" s="220"/>
      <c r="CD111" s="220"/>
      <c r="CE111" s="220"/>
      <c r="CF111" s="220"/>
    </row>
    <row r="112" spans="67:84" s="4" customFormat="1">
      <c r="BO112" s="220"/>
      <c r="BP112" s="220"/>
      <c r="BQ112" s="220"/>
      <c r="BR112" s="220"/>
      <c r="BS112" s="220"/>
      <c r="BT112" s="220"/>
      <c r="BU112" s="220"/>
      <c r="BV112" s="220"/>
      <c r="BW112" s="220"/>
      <c r="BX112" s="220"/>
      <c r="BY112" s="220"/>
      <c r="BZ112" s="220"/>
      <c r="CA112" s="220"/>
      <c r="CB112" s="220"/>
      <c r="CC112" s="220"/>
      <c r="CD112" s="220"/>
      <c r="CE112" s="220"/>
      <c r="CF112" s="220"/>
    </row>
    <row r="113" spans="67:84" s="4" customFormat="1">
      <c r="BO113" s="220"/>
      <c r="BP113" s="220"/>
      <c r="BQ113" s="220"/>
      <c r="BR113" s="220"/>
      <c r="BS113" s="220"/>
      <c r="BT113" s="220"/>
      <c r="BU113" s="220"/>
      <c r="BV113" s="220"/>
      <c r="BW113" s="220"/>
      <c r="BX113" s="220"/>
      <c r="BY113" s="220"/>
      <c r="BZ113" s="220"/>
      <c r="CA113" s="220"/>
      <c r="CB113" s="220"/>
      <c r="CC113" s="220"/>
      <c r="CD113" s="220"/>
      <c r="CE113" s="220"/>
      <c r="CF113" s="220"/>
    </row>
    <row r="114" spans="67:84" s="4" customFormat="1">
      <c r="BO114" s="220"/>
      <c r="BP114" s="220"/>
      <c r="BQ114" s="220"/>
      <c r="BR114" s="220"/>
      <c r="BS114" s="220"/>
      <c r="BT114" s="220"/>
      <c r="BU114" s="220"/>
      <c r="BV114" s="220"/>
      <c r="BW114" s="220"/>
      <c r="BX114" s="220"/>
      <c r="BY114" s="220"/>
      <c r="BZ114" s="220"/>
      <c r="CA114" s="220"/>
      <c r="CB114" s="220"/>
      <c r="CC114" s="220"/>
      <c r="CD114" s="220"/>
      <c r="CE114" s="220"/>
      <c r="CF114" s="220"/>
    </row>
    <row r="115" spans="67:84" s="4" customFormat="1">
      <c r="BO115" s="220"/>
      <c r="BP115" s="220"/>
      <c r="BQ115" s="220"/>
      <c r="BR115" s="220"/>
      <c r="BS115" s="220"/>
      <c r="BT115" s="220"/>
      <c r="BU115" s="220"/>
      <c r="BV115" s="220"/>
      <c r="BW115" s="220"/>
      <c r="BX115" s="220"/>
      <c r="BY115" s="220"/>
      <c r="BZ115" s="220"/>
      <c r="CA115" s="220"/>
      <c r="CB115" s="220"/>
      <c r="CC115" s="220"/>
      <c r="CD115" s="220"/>
      <c r="CE115" s="220"/>
      <c r="CF115" s="220"/>
    </row>
    <row r="116" spans="67:84" s="4" customFormat="1">
      <c r="BO116" s="220"/>
      <c r="BP116" s="220"/>
      <c r="BQ116" s="220"/>
      <c r="BR116" s="220"/>
      <c r="BS116" s="220"/>
      <c r="BT116" s="220"/>
      <c r="BU116" s="220"/>
      <c r="BV116" s="220"/>
      <c r="BW116" s="220"/>
      <c r="BX116" s="220"/>
      <c r="BY116" s="220"/>
      <c r="BZ116" s="220"/>
      <c r="CA116" s="220"/>
      <c r="CB116" s="220"/>
      <c r="CC116" s="220"/>
      <c r="CD116" s="220"/>
      <c r="CE116" s="220"/>
      <c r="CF116" s="220"/>
    </row>
    <row r="117" spans="67:84" s="4" customFormat="1">
      <c r="BO117" s="220"/>
      <c r="BP117" s="220"/>
      <c r="BQ117" s="220"/>
      <c r="BR117" s="220"/>
      <c r="BS117" s="220"/>
      <c r="BT117" s="220"/>
      <c r="BU117" s="220"/>
      <c r="BV117" s="220"/>
      <c r="BW117" s="220"/>
      <c r="BX117" s="220"/>
      <c r="BY117" s="220"/>
      <c r="BZ117" s="220"/>
      <c r="CA117" s="220"/>
      <c r="CB117" s="220"/>
      <c r="CC117" s="220"/>
      <c r="CD117" s="220"/>
      <c r="CE117" s="220"/>
      <c r="CF117" s="220"/>
    </row>
    <row r="118" spans="67:84" s="4" customFormat="1">
      <c r="BO118" s="220"/>
      <c r="BP118" s="220"/>
      <c r="BQ118" s="220"/>
      <c r="BR118" s="220"/>
      <c r="BS118" s="220"/>
      <c r="BT118" s="220"/>
      <c r="BU118" s="220"/>
      <c r="BV118" s="220"/>
      <c r="BW118" s="220"/>
      <c r="BX118" s="220"/>
      <c r="BY118" s="220"/>
      <c r="BZ118" s="220"/>
      <c r="CA118" s="220"/>
      <c r="CB118" s="220"/>
      <c r="CC118" s="220"/>
      <c r="CD118" s="220"/>
      <c r="CE118" s="220"/>
      <c r="CF118" s="220"/>
    </row>
    <row r="119" spans="67:84" s="4" customFormat="1">
      <c r="BO119" s="220"/>
      <c r="BP119" s="220"/>
      <c r="BQ119" s="220"/>
      <c r="BR119" s="220"/>
      <c r="BS119" s="220"/>
      <c r="BT119" s="220"/>
      <c r="BU119" s="220"/>
      <c r="BV119" s="220"/>
      <c r="BW119" s="220"/>
      <c r="BX119" s="220"/>
      <c r="BY119" s="220"/>
      <c r="BZ119" s="220"/>
      <c r="CA119" s="220"/>
      <c r="CB119" s="220"/>
      <c r="CC119" s="220"/>
      <c r="CD119" s="220"/>
      <c r="CE119" s="220"/>
      <c r="CF119" s="220"/>
    </row>
    <row r="120" spans="67:84" s="4" customFormat="1">
      <c r="BO120" s="220"/>
      <c r="BP120" s="220"/>
      <c r="BQ120" s="220"/>
      <c r="BR120" s="220"/>
      <c r="BS120" s="220"/>
      <c r="BT120" s="220"/>
      <c r="BU120" s="220"/>
      <c r="BV120" s="220"/>
      <c r="BW120" s="220"/>
      <c r="BX120" s="220"/>
      <c r="BY120" s="220"/>
      <c r="BZ120" s="220"/>
      <c r="CA120" s="220"/>
      <c r="CB120" s="220"/>
      <c r="CC120" s="220"/>
      <c r="CD120" s="220"/>
      <c r="CE120" s="220"/>
      <c r="CF120" s="220"/>
    </row>
    <row r="121" spans="67:84" s="4" customFormat="1">
      <c r="BO121" s="220"/>
      <c r="BP121" s="220"/>
      <c r="BQ121" s="220"/>
      <c r="BR121" s="220"/>
      <c r="BS121" s="220"/>
      <c r="BT121" s="220"/>
      <c r="BU121" s="220"/>
      <c r="BV121" s="220"/>
      <c r="BW121" s="220"/>
      <c r="BX121" s="220"/>
      <c r="BY121" s="220"/>
      <c r="BZ121" s="220"/>
      <c r="CA121" s="220"/>
      <c r="CB121" s="220"/>
      <c r="CC121" s="220"/>
      <c r="CD121" s="220"/>
      <c r="CE121" s="220"/>
      <c r="CF121" s="220"/>
    </row>
    <row r="122" spans="67:84" s="4" customFormat="1">
      <c r="BO122" s="220"/>
      <c r="BP122" s="220"/>
      <c r="BQ122" s="220"/>
      <c r="BR122" s="220"/>
      <c r="BS122" s="220"/>
      <c r="BT122" s="220"/>
      <c r="BU122" s="220"/>
      <c r="BV122" s="220"/>
      <c r="BW122" s="220"/>
      <c r="BX122" s="220"/>
      <c r="BY122" s="220"/>
      <c r="BZ122" s="220"/>
      <c r="CA122" s="220"/>
      <c r="CB122" s="220"/>
      <c r="CC122" s="220"/>
      <c r="CD122" s="220"/>
      <c r="CE122" s="220"/>
      <c r="CF122" s="220"/>
    </row>
    <row r="123" spans="67:84" s="4" customFormat="1">
      <c r="BO123" s="220"/>
      <c r="BP123" s="220"/>
      <c r="BQ123" s="220"/>
      <c r="BR123" s="220"/>
      <c r="BS123" s="220"/>
      <c r="BT123" s="220"/>
      <c r="BU123" s="220"/>
      <c r="BV123" s="220"/>
      <c r="BW123" s="220"/>
      <c r="BX123" s="220"/>
      <c r="BY123" s="220"/>
      <c r="BZ123" s="220"/>
      <c r="CA123" s="220"/>
      <c r="CB123" s="220"/>
      <c r="CC123" s="220"/>
      <c r="CD123" s="220"/>
      <c r="CE123" s="220"/>
      <c r="CF123" s="220"/>
    </row>
    <row r="124" spans="67:84" s="4" customFormat="1">
      <c r="BO124" s="220"/>
      <c r="BP124" s="220"/>
      <c r="BQ124" s="220"/>
      <c r="BR124" s="220"/>
      <c r="BS124" s="220"/>
      <c r="BT124" s="220"/>
      <c r="BU124" s="220"/>
      <c r="BV124" s="220"/>
      <c r="BW124" s="220"/>
      <c r="BX124" s="220"/>
      <c r="BY124" s="220"/>
      <c r="BZ124" s="220"/>
      <c r="CA124" s="220"/>
      <c r="CB124" s="220"/>
      <c r="CC124" s="220"/>
      <c r="CD124" s="220"/>
      <c r="CE124" s="220"/>
      <c r="CF124" s="220"/>
    </row>
    <row r="125" spans="67:84" s="4" customFormat="1">
      <c r="BO125" s="220"/>
      <c r="BP125" s="220"/>
      <c r="BQ125" s="220"/>
      <c r="BR125" s="220"/>
      <c r="BS125" s="220"/>
      <c r="BT125" s="220"/>
      <c r="BU125" s="220"/>
      <c r="BV125" s="220"/>
      <c r="BW125" s="220"/>
      <c r="BX125" s="220"/>
      <c r="BY125" s="220"/>
      <c r="BZ125" s="220"/>
      <c r="CA125" s="220"/>
      <c r="CB125" s="220"/>
      <c r="CC125" s="220"/>
      <c r="CD125" s="220"/>
      <c r="CE125" s="220"/>
      <c r="CF125" s="220"/>
    </row>
    <row r="126" spans="67:84" s="4" customFormat="1">
      <c r="BO126" s="220"/>
      <c r="BP126" s="220"/>
      <c r="BQ126" s="220"/>
      <c r="BR126" s="220"/>
      <c r="BS126" s="220"/>
      <c r="BT126" s="220"/>
      <c r="BU126" s="220"/>
      <c r="BV126" s="220"/>
      <c r="BW126" s="220"/>
      <c r="BX126" s="220"/>
      <c r="BY126" s="220"/>
      <c r="BZ126" s="220"/>
      <c r="CA126" s="220"/>
      <c r="CB126" s="220"/>
      <c r="CC126" s="220"/>
      <c r="CD126" s="220"/>
      <c r="CE126" s="220"/>
      <c r="CF126" s="220"/>
    </row>
    <row r="127" spans="67:84" s="4" customFormat="1">
      <c r="BO127" s="220"/>
      <c r="BP127" s="220"/>
      <c r="BQ127" s="220"/>
      <c r="BR127" s="220"/>
      <c r="BS127" s="220"/>
      <c r="BT127" s="220"/>
      <c r="BU127" s="220"/>
      <c r="BV127" s="220"/>
      <c r="BW127" s="220"/>
      <c r="BX127" s="220"/>
      <c r="BY127" s="220"/>
      <c r="BZ127" s="220"/>
      <c r="CA127" s="220"/>
      <c r="CB127" s="220"/>
      <c r="CC127" s="220"/>
      <c r="CD127" s="220"/>
      <c r="CE127" s="220"/>
      <c r="CF127" s="220"/>
    </row>
    <row r="128" spans="67:84" s="4" customFormat="1">
      <c r="BO128" s="220"/>
      <c r="BP128" s="220"/>
      <c r="BQ128" s="220"/>
      <c r="BR128" s="220"/>
      <c r="BS128" s="220"/>
      <c r="BT128" s="220"/>
      <c r="BU128" s="220"/>
      <c r="BV128" s="220"/>
      <c r="BW128" s="220"/>
      <c r="BX128" s="220"/>
      <c r="BY128" s="220"/>
      <c r="BZ128" s="220"/>
      <c r="CA128" s="220"/>
      <c r="CB128" s="220"/>
      <c r="CC128" s="220"/>
      <c r="CD128" s="220"/>
      <c r="CE128" s="220"/>
      <c r="CF128" s="220"/>
    </row>
    <row r="129" spans="67:84" s="4" customFormat="1">
      <c r="BO129" s="220"/>
      <c r="BP129" s="220"/>
      <c r="BQ129" s="220"/>
      <c r="BR129" s="220"/>
      <c r="BS129" s="220"/>
      <c r="BT129" s="220"/>
      <c r="BU129" s="220"/>
      <c r="BV129" s="220"/>
      <c r="BW129" s="220"/>
      <c r="BX129" s="220"/>
      <c r="BY129" s="220"/>
      <c r="BZ129" s="220"/>
      <c r="CA129" s="220"/>
      <c r="CB129" s="220"/>
      <c r="CC129" s="220"/>
      <c r="CD129" s="220"/>
      <c r="CE129" s="220"/>
      <c r="CF129" s="220"/>
    </row>
    <row r="130" spans="67:84" s="4" customFormat="1">
      <c r="BO130" s="220"/>
      <c r="BP130" s="220"/>
      <c r="BQ130" s="220"/>
      <c r="BR130" s="220"/>
      <c r="BS130" s="220"/>
      <c r="BT130" s="220"/>
      <c r="BU130" s="220"/>
      <c r="BV130" s="220"/>
      <c r="BW130" s="220"/>
      <c r="BX130" s="220"/>
      <c r="BY130" s="220"/>
      <c r="BZ130" s="220"/>
      <c r="CA130" s="220"/>
      <c r="CB130" s="220"/>
      <c r="CC130" s="220"/>
      <c r="CD130" s="220"/>
      <c r="CE130" s="220"/>
      <c r="CF130" s="220"/>
    </row>
    <row r="131" spans="67:84" s="4" customFormat="1">
      <c r="BO131" s="220"/>
      <c r="BP131" s="220"/>
      <c r="BQ131" s="220"/>
      <c r="BR131" s="220"/>
      <c r="BS131" s="220"/>
      <c r="BT131" s="220"/>
      <c r="BU131" s="220"/>
      <c r="BV131" s="220"/>
      <c r="BW131" s="220"/>
      <c r="BX131" s="220"/>
      <c r="BY131" s="220"/>
      <c r="BZ131" s="220"/>
      <c r="CA131" s="220"/>
      <c r="CB131" s="220"/>
      <c r="CC131" s="220"/>
      <c r="CD131" s="220"/>
      <c r="CE131" s="220"/>
      <c r="CF131" s="220"/>
    </row>
    <row r="132" spans="67:84" s="4" customFormat="1">
      <c r="BO132" s="220"/>
      <c r="BP132" s="220"/>
      <c r="BQ132" s="220"/>
      <c r="BR132" s="220"/>
      <c r="BS132" s="220"/>
      <c r="BT132" s="220"/>
      <c r="BU132" s="220"/>
      <c r="BV132" s="220"/>
      <c r="BW132" s="220"/>
      <c r="BX132" s="220"/>
      <c r="BY132" s="220"/>
      <c r="BZ132" s="220"/>
      <c r="CA132" s="220"/>
      <c r="CB132" s="220"/>
      <c r="CC132" s="220"/>
      <c r="CD132" s="220"/>
      <c r="CE132" s="220"/>
      <c r="CF132" s="220"/>
    </row>
    <row r="133" spans="67:84" s="4" customFormat="1">
      <c r="BO133" s="220"/>
      <c r="BP133" s="220"/>
      <c r="BQ133" s="220"/>
      <c r="BR133" s="220"/>
      <c r="BS133" s="220"/>
      <c r="BT133" s="220"/>
      <c r="BU133" s="220"/>
      <c r="BV133" s="220"/>
      <c r="BW133" s="220"/>
      <c r="BX133" s="220"/>
      <c r="BY133" s="220"/>
      <c r="BZ133" s="220"/>
      <c r="CA133" s="220"/>
      <c r="CB133" s="220"/>
      <c r="CC133" s="220"/>
      <c r="CD133" s="220"/>
      <c r="CE133" s="220"/>
      <c r="CF133" s="220"/>
    </row>
    <row r="134" spans="67:84" s="4" customFormat="1">
      <c r="BO134" s="220"/>
      <c r="BP134" s="220"/>
      <c r="BQ134" s="220"/>
      <c r="BR134" s="220"/>
      <c r="BS134" s="220"/>
      <c r="BT134" s="220"/>
      <c r="BU134" s="220"/>
      <c r="BV134" s="220"/>
      <c r="BW134" s="220"/>
      <c r="BX134" s="220"/>
      <c r="BY134" s="220"/>
      <c r="BZ134" s="220"/>
      <c r="CA134" s="220"/>
      <c r="CB134" s="220"/>
      <c r="CC134" s="220"/>
      <c r="CD134" s="220"/>
      <c r="CE134" s="220"/>
      <c r="CF134" s="220"/>
    </row>
    <row r="135" spans="67:84" s="4" customFormat="1">
      <c r="BO135" s="220"/>
      <c r="BP135" s="220"/>
      <c r="BQ135" s="220"/>
      <c r="BR135" s="220"/>
      <c r="BS135" s="220"/>
      <c r="BT135" s="220"/>
      <c r="BU135" s="220"/>
      <c r="BV135" s="220"/>
      <c r="BW135" s="220"/>
      <c r="BX135" s="220"/>
      <c r="BY135" s="220"/>
      <c r="BZ135" s="220"/>
      <c r="CA135" s="220"/>
      <c r="CB135" s="220"/>
      <c r="CC135" s="220"/>
      <c r="CD135" s="220"/>
      <c r="CE135" s="220"/>
      <c r="CF135" s="220"/>
    </row>
    <row r="136" spans="67:84" s="4" customFormat="1">
      <c r="BO136" s="220"/>
      <c r="BP136" s="220"/>
      <c r="BQ136" s="220"/>
      <c r="BR136" s="220"/>
      <c r="BS136" s="220"/>
      <c r="BT136" s="220"/>
      <c r="BU136" s="220"/>
      <c r="BV136" s="220"/>
      <c r="BW136" s="220"/>
      <c r="BX136" s="220"/>
      <c r="BY136" s="220"/>
      <c r="BZ136" s="220"/>
      <c r="CA136" s="220"/>
      <c r="CB136" s="220"/>
      <c r="CC136" s="220"/>
      <c r="CD136" s="220"/>
      <c r="CE136" s="220"/>
      <c r="CF136" s="220"/>
    </row>
    <row r="137" spans="67:84" s="4" customFormat="1">
      <c r="BO137" s="220"/>
      <c r="BP137" s="220"/>
      <c r="BQ137" s="220"/>
      <c r="BR137" s="220"/>
      <c r="BS137" s="220"/>
      <c r="BT137" s="220"/>
      <c r="BU137" s="220"/>
      <c r="BV137" s="220"/>
      <c r="BW137" s="220"/>
      <c r="BX137" s="220"/>
      <c r="BY137" s="220"/>
      <c r="BZ137" s="220"/>
      <c r="CA137" s="220"/>
      <c r="CB137" s="220"/>
      <c r="CC137" s="220"/>
      <c r="CD137" s="220"/>
      <c r="CE137" s="220"/>
      <c r="CF137" s="220"/>
    </row>
    <row r="138" spans="67:84" s="4" customFormat="1">
      <c r="BO138" s="220"/>
      <c r="BP138" s="220"/>
      <c r="BQ138" s="220"/>
      <c r="BR138" s="220"/>
      <c r="BS138" s="220"/>
      <c r="BT138" s="220"/>
      <c r="BU138" s="220"/>
      <c r="BV138" s="220"/>
      <c r="BW138" s="220"/>
      <c r="BX138" s="220"/>
      <c r="BY138" s="220"/>
      <c r="BZ138" s="220"/>
      <c r="CA138" s="220"/>
      <c r="CB138" s="220"/>
      <c r="CC138" s="220"/>
      <c r="CD138" s="220"/>
      <c r="CE138" s="220"/>
      <c r="CF138" s="220"/>
    </row>
    <row r="139" spans="67:84" s="4" customFormat="1">
      <c r="BO139" s="220"/>
      <c r="BP139" s="220"/>
      <c r="BQ139" s="220"/>
      <c r="BR139" s="220"/>
      <c r="BS139" s="220"/>
      <c r="BT139" s="220"/>
      <c r="BU139" s="220"/>
      <c r="BV139" s="220"/>
      <c r="BW139" s="220"/>
      <c r="BX139" s="220"/>
      <c r="BY139" s="220"/>
      <c r="BZ139" s="220"/>
      <c r="CA139" s="220"/>
      <c r="CB139" s="220"/>
      <c r="CC139" s="220"/>
      <c r="CD139" s="220"/>
      <c r="CE139" s="220"/>
      <c r="CF139" s="220"/>
    </row>
    <row r="140" spans="67:84" s="4" customFormat="1">
      <c r="BO140" s="220"/>
      <c r="BP140" s="220"/>
      <c r="BQ140" s="220"/>
      <c r="BR140" s="220"/>
      <c r="BS140" s="220"/>
      <c r="BT140" s="220"/>
      <c r="BU140" s="220"/>
      <c r="BV140" s="220"/>
      <c r="BW140" s="220"/>
      <c r="BX140" s="220"/>
      <c r="BY140" s="220"/>
      <c r="BZ140" s="220"/>
      <c r="CA140" s="220"/>
      <c r="CB140" s="220"/>
      <c r="CC140" s="220"/>
      <c r="CD140" s="220"/>
      <c r="CE140" s="220"/>
      <c r="CF140" s="220"/>
    </row>
    <row r="141" spans="67:84" s="4" customFormat="1">
      <c r="BO141" s="220"/>
      <c r="BP141" s="220"/>
      <c r="BQ141" s="220"/>
      <c r="BR141" s="220"/>
      <c r="BS141" s="220"/>
      <c r="BT141" s="220"/>
      <c r="BU141" s="220"/>
      <c r="BV141" s="220"/>
      <c r="BW141" s="220"/>
      <c r="BX141" s="220"/>
      <c r="BY141" s="220"/>
      <c r="BZ141" s="220"/>
      <c r="CA141" s="220"/>
      <c r="CB141" s="220"/>
      <c r="CC141" s="220"/>
      <c r="CD141" s="220"/>
      <c r="CE141" s="220"/>
      <c r="CF141" s="220"/>
    </row>
    <row r="142" spans="67:84" s="4" customFormat="1">
      <c r="BO142" s="220"/>
      <c r="BP142" s="220"/>
      <c r="BQ142" s="220"/>
      <c r="BR142" s="220"/>
      <c r="BS142" s="220"/>
      <c r="BT142" s="220"/>
      <c r="BU142" s="220"/>
      <c r="BV142" s="220"/>
      <c r="BW142" s="220"/>
      <c r="BX142" s="220"/>
      <c r="BY142" s="220"/>
      <c r="BZ142" s="220"/>
      <c r="CA142" s="220"/>
      <c r="CB142" s="220"/>
      <c r="CC142" s="220"/>
      <c r="CD142" s="220"/>
      <c r="CE142" s="220"/>
      <c r="CF142" s="220"/>
    </row>
    <row r="143" spans="67:84" s="4" customFormat="1">
      <c r="BO143" s="220"/>
      <c r="BP143" s="220"/>
      <c r="BQ143" s="220"/>
      <c r="BR143" s="220"/>
      <c r="BS143" s="220"/>
      <c r="BT143" s="220"/>
      <c r="BU143" s="220"/>
      <c r="BV143" s="220"/>
      <c r="BW143" s="220"/>
      <c r="BX143" s="220"/>
      <c r="BY143" s="220"/>
      <c r="BZ143" s="220"/>
      <c r="CA143" s="220"/>
      <c r="CB143" s="220"/>
      <c r="CC143" s="220"/>
      <c r="CD143" s="220"/>
      <c r="CE143" s="220"/>
      <c r="CF143" s="220"/>
    </row>
    <row r="144" spans="67:84" s="4" customFormat="1">
      <c r="BO144" s="220"/>
      <c r="BP144" s="220"/>
      <c r="BQ144" s="220"/>
      <c r="BR144" s="220"/>
      <c r="BS144" s="220"/>
      <c r="BT144" s="220"/>
      <c r="BU144" s="220"/>
      <c r="BV144" s="220"/>
      <c r="BW144" s="220"/>
      <c r="BX144" s="220"/>
      <c r="BY144" s="220"/>
      <c r="BZ144" s="220"/>
      <c r="CA144" s="220"/>
      <c r="CB144" s="220"/>
      <c r="CC144" s="220"/>
      <c r="CD144" s="220"/>
      <c r="CE144" s="220"/>
      <c r="CF144" s="220"/>
    </row>
    <row r="145" spans="1:84" s="4" customFormat="1">
      <c r="BO145" s="220"/>
      <c r="BP145" s="220"/>
      <c r="BQ145" s="220"/>
      <c r="BR145" s="220"/>
      <c r="BS145" s="220"/>
      <c r="BT145" s="220"/>
      <c r="BU145" s="220"/>
      <c r="BV145" s="220"/>
      <c r="BW145" s="220"/>
      <c r="BX145" s="220"/>
      <c r="BY145" s="220"/>
      <c r="BZ145" s="220"/>
      <c r="CA145" s="220"/>
      <c r="CB145" s="220"/>
      <c r="CC145" s="220"/>
      <c r="CD145" s="220"/>
      <c r="CE145" s="220"/>
      <c r="CF145" s="220"/>
    </row>
    <row r="146" spans="1:84" s="4" customFormat="1">
      <c r="BO146" s="220"/>
      <c r="BP146" s="220"/>
      <c r="BQ146" s="220"/>
      <c r="BR146" s="220"/>
      <c r="BS146" s="220"/>
      <c r="BT146" s="220"/>
      <c r="BU146" s="220"/>
      <c r="BV146" s="220"/>
      <c r="BW146" s="220"/>
      <c r="BX146" s="220"/>
      <c r="BY146" s="220"/>
      <c r="BZ146" s="220"/>
      <c r="CA146" s="220"/>
      <c r="CB146" s="220"/>
      <c r="CC146" s="220"/>
      <c r="CD146" s="220"/>
      <c r="CE146" s="220"/>
      <c r="CF146" s="220"/>
    </row>
    <row r="147" spans="1:84" s="4" customFormat="1">
      <c r="BO147" s="220"/>
      <c r="BP147" s="220"/>
      <c r="BQ147" s="220"/>
      <c r="BR147" s="220"/>
      <c r="BS147" s="220"/>
      <c r="BT147" s="220"/>
      <c r="BU147" s="220"/>
      <c r="BV147" s="220"/>
      <c r="BW147" s="220"/>
      <c r="BX147" s="220"/>
      <c r="BY147" s="220"/>
      <c r="BZ147" s="220"/>
      <c r="CA147" s="220"/>
      <c r="CB147" s="220"/>
      <c r="CC147" s="220"/>
      <c r="CD147" s="220"/>
      <c r="CE147" s="220"/>
      <c r="CF147" s="220"/>
    </row>
    <row r="148" spans="1:84" s="4" customFormat="1">
      <c r="BO148" s="220"/>
      <c r="BP148" s="220"/>
      <c r="BQ148" s="220"/>
      <c r="BR148" s="220"/>
      <c r="BS148" s="220"/>
      <c r="BT148" s="220"/>
      <c r="BU148" s="220"/>
      <c r="BV148" s="220"/>
      <c r="BW148" s="220"/>
      <c r="BX148" s="220"/>
      <c r="BY148" s="220"/>
      <c r="BZ148" s="220"/>
      <c r="CA148" s="220"/>
      <c r="CB148" s="220"/>
      <c r="CC148" s="220"/>
      <c r="CD148" s="220"/>
      <c r="CE148" s="220"/>
      <c r="CF148" s="220"/>
    </row>
    <row r="149" spans="1:84" s="4" customFormat="1">
      <c r="BO149" s="220"/>
      <c r="BP149" s="220"/>
      <c r="BQ149" s="220"/>
      <c r="BR149" s="220"/>
      <c r="BS149" s="220"/>
      <c r="BT149" s="220"/>
      <c r="BU149" s="220"/>
      <c r="BV149" s="220"/>
      <c r="BW149" s="220"/>
      <c r="BX149" s="220"/>
      <c r="BY149" s="220"/>
      <c r="BZ149" s="220"/>
      <c r="CA149" s="220"/>
      <c r="CB149" s="220"/>
      <c r="CC149" s="220"/>
      <c r="CD149" s="220"/>
      <c r="CE149" s="220"/>
      <c r="CF149" s="220"/>
    </row>
    <row r="150" spans="1:84" s="4" customFormat="1">
      <c r="BO150" s="220"/>
      <c r="BP150" s="220"/>
      <c r="BQ150" s="220"/>
      <c r="BR150" s="220"/>
      <c r="BS150" s="220"/>
      <c r="BT150" s="220"/>
      <c r="BU150" s="220"/>
      <c r="BV150" s="220"/>
      <c r="BW150" s="220"/>
      <c r="BX150" s="220"/>
      <c r="BY150" s="220"/>
      <c r="BZ150" s="220"/>
      <c r="CA150" s="220"/>
      <c r="CB150" s="220"/>
      <c r="CC150" s="220"/>
      <c r="CD150" s="220"/>
      <c r="CE150" s="220"/>
      <c r="CF150" s="220"/>
    </row>
    <row r="151" spans="1:84">
      <c r="A151" s="4"/>
      <c r="B151" s="4"/>
      <c r="C151" s="4"/>
      <c r="BQ151" s="220"/>
      <c r="BR151" s="220"/>
      <c r="BS151" s="220"/>
      <c r="BU151" s="220"/>
      <c r="BV151" s="220"/>
      <c r="BW151" s="220"/>
      <c r="BY151" s="220"/>
      <c r="BZ151" s="220"/>
      <c r="CA151" s="220"/>
      <c r="CC151" s="220"/>
      <c r="CD151" s="220"/>
      <c r="CE151" s="220"/>
      <c r="CF151" s="220"/>
    </row>
    <row r="152" spans="1:84">
      <c r="A152" s="4"/>
      <c r="B152" s="4"/>
      <c r="C152" s="4"/>
      <c r="BQ152" s="220"/>
      <c r="BR152" s="220"/>
      <c r="BS152" s="220"/>
      <c r="BU152" s="220"/>
      <c r="BV152" s="220"/>
      <c r="BW152" s="220"/>
      <c r="BY152" s="220"/>
      <c r="BZ152" s="220"/>
      <c r="CA152" s="220"/>
      <c r="CC152" s="220"/>
      <c r="CD152" s="220"/>
      <c r="CE152" s="220"/>
      <c r="CF152" s="220"/>
    </row>
  </sheetData>
  <phoneticPr fontId="6"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6076B-8C41-448D-A2CF-FBB6B5FFB0F4}">
  <sheetPr>
    <tabColor theme="0"/>
  </sheetPr>
  <dimension ref="A1:BO435"/>
  <sheetViews>
    <sheetView workbookViewId="0">
      <selection activeCell="L3" sqref="L3"/>
    </sheetView>
  </sheetViews>
  <sheetFormatPr defaultColWidth="10.85546875" defaultRowHeight="12.95" outlineLevelCol="1"/>
  <cols>
    <col min="1" max="1" width="7.42578125" style="1" customWidth="1"/>
    <col min="2" max="3" width="15.42578125" style="1" customWidth="1"/>
    <col min="4" max="4" width="14.5703125" style="1" hidden="1" customWidth="1" outlineLevel="1"/>
    <col min="5" max="5" width="20.5703125" style="1" customWidth="1" collapsed="1"/>
    <col min="6" max="6" width="20.5703125" style="1" hidden="1" customWidth="1" outlineLevel="1"/>
    <col min="7" max="7" width="20.5703125" style="1" customWidth="1" collapsed="1"/>
    <col min="8" max="8" width="15.42578125" style="1" customWidth="1"/>
    <col min="9" max="9" width="20.28515625" style="1" bestFit="1" customWidth="1"/>
    <col min="10" max="10" width="16.5703125" style="4" customWidth="1"/>
    <col min="11" max="11" width="21.85546875" style="4" customWidth="1"/>
    <col min="12" max="12" width="22.28515625" style="4" customWidth="1"/>
    <col min="13" max="67" width="10.85546875" style="4"/>
    <col min="68" max="16384" width="10.85546875" style="1"/>
  </cols>
  <sheetData>
    <row r="1" spans="1:12" ht="41.45" customHeight="1">
      <c r="A1" s="5" t="s">
        <v>278</v>
      </c>
      <c r="B1" s="7" t="s">
        <v>279</v>
      </c>
      <c r="C1" s="7" t="s">
        <v>280</v>
      </c>
      <c r="D1" s="7" t="s">
        <v>282</v>
      </c>
      <c r="E1" s="7" t="s">
        <v>838</v>
      </c>
      <c r="F1" s="7" t="s">
        <v>282</v>
      </c>
      <c r="G1" s="7" t="s">
        <v>839</v>
      </c>
      <c r="H1" s="136" t="s">
        <v>840</v>
      </c>
      <c r="I1" s="136" t="s">
        <v>215</v>
      </c>
      <c r="J1" s="137" t="s">
        <v>218</v>
      </c>
      <c r="K1" s="137" t="s">
        <v>222</v>
      </c>
      <c r="L1" s="137" t="s">
        <v>225</v>
      </c>
    </row>
    <row r="2" spans="1:12" ht="14.25">
      <c r="A2" s="9">
        <v>1</v>
      </c>
      <c r="B2" s="190" t="s">
        <v>304</v>
      </c>
      <c r="C2" s="1" t="s">
        <v>305</v>
      </c>
      <c r="D2" s="101" t="s">
        <v>841</v>
      </c>
      <c r="E2" s="11">
        <v>24</v>
      </c>
      <c r="F2" s="101" t="s">
        <v>842</v>
      </c>
      <c r="G2" s="20">
        <v>23.87</v>
      </c>
      <c r="H2" s="189" t="str">
        <f>IF(AND(E2&gt;$E$54,G2&gt;$G$54),"High/High",
   IF(AND(E2&gt;$E$54,G2&lt;=$G$54),"High/Low",
      IF(AND(E2&lt;=$E$54,G2&gt;$G$54),"Low/High",
         "Low/Low")))</f>
        <v>Low/Low</v>
      </c>
      <c r="I2" s="123">
        <f>IF(H2="High/High",0.5,
   IF(H2="Low/High",0.4,
      IF(H2="High/Low",0.3,
         0.2)))</f>
        <v>0.2</v>
      </c>
      <c r="J2" s="124">
        <f>I2</f>
        <v>0.2</v>
      </c>
      <c r="K2" s="124">
        <f>I2/5</f>
        <v>0.04</v>
      </c>
      <c r="L2" s="124">
        <f>I2</f>
        <v>0.2</v>
      </c>
    </row>
    <row r="3" spans="1:12" ht="14.25">
      <c r="A3" s="9">
        <v>2</v>
      </c>
      <c r="B3" s="190" t="s">
        <v>314</v>
      </c>
      <c r="C3" s="1" t="s">
        <v>315</v>
      </c>
      <c r="D3" s="101" t="s">
        <v>841</v>
      </c>
      <c r="E3" s="11">
        <v>9</v>
      </c>
      <c r="F3" s="101" t="s">
        <v>842</v>
      </c>
      <c r="G3" s="20">
        <v>29.37</v>
      </c>
      <c r="H3" s="189" t="str">
        <f t="shared" ref="H3:H51" si="0">IF(AND(E3&gt;$E$54,G3&gt;$G$54),"High/High",
   IF(AND(E3&gt;$E$54,G3&lt;=$G$54),"High/Low",
      IF(AND(E3&lt;=$E$54,G3&gt;$G$54),"Low/High",
         "Low/Low")))</f>
        <v>Low/Low</v>
      </c>
      <c r="I3" s="123">
        <f t="shared" ref="I3:I51" si="1">IF(H3="High/High",0.5,
   IF(H3="Low/High",0.4,
      IF(H3="High/Low",0.3,
         0.2)))</f>
        <v>0.2</v>
      </c>
      <c r="J3" s="124">
        <f t="shared" ref="J3:J51" si="2">I3</f>
        <v>0.2</v>
      </c>
      <c r="K3" s="124">
        <f t="shared" ref="K3:K51" si="3">I3/5</f>
        <v>0.04</v>
      </c>
      <c r="L3" s="124">
        <f t="shared" ref="L3:L51" si="4">I3</f>
        <v>0.2</v>
      </c>
    </row>
    <row r="4" spans="1:12" ht="14.25">
      <c r="A4" s="9">
        <v>3</v>
      </c>
      <c r="B4" s="190" t="s">
        <v>321</v>
      </c>
      <c r="C4" s="1" t="s">
        <v>322</v>
      </c>
      <c r="D4" s="101" t="s">
        <v>841</v>
      </c>
      <c r="E4" s="11">
        <v>28</v>
      </c>
      <c r="F4" s="101" t="s">
        <v>842</v>
      </c>
      <c r="G4" s="20">
        <v>28</v>
      </c>
      <c r="H4" s="189" t="str">
        <f t="shared" si="0"/>
        <v>High/Low</v>
      </c>
      <c r="I4" s="123">
        <f t="shared" si="1"/>
        <v>0.3</v>
      </c>
      <c r="J4" s="124">
        <f t="shared" si="2"/>
        <v>0.3</v>
      </c>
      <c r="K4" s="124">
        <f t="shared" si="3"/>
        <v>0.06</v>
      </c>
      <c r="L4" s="124">
        <f t="shared" si="4"/>
        <v>0.3</v>
      </c>
    </row>
    <row r="5" spans="1:12" ht="14.25">
      <c r="A5" s="9">
        <v>4</v>
      </c>
      <c r="B5" s="190" t="s">
        <v>327</v>
      </c>
      <c r="C5" s="1" t="s">
        <v>328</v>
      </c>
      <c r="D5" s="101" t="s">
        <v>841</v>
      </c>
      <c r="E5" s="11">
        <v>24</v>
      </c>
      <c r="F5" s="101" t="s">
        <v>842</v>
      </c>
      <c r="G5" s="20">
        <v>29.36</v>
      </c>
      <c r="H5" s="189" t="str">
        <f t="shared" si="0"/>
        <v>Low/Low</v>
      </c>
      <c r="I5" s="123">
        <f t="shared" si="1"/>
        <v>0.2</v>
      </c>
      <c r="J5" s="124">
        <f t="shared" si="2"/>
        <v>0.2</v>
      </c>
      <c r="K5" s="124">
        <f t="shared" si="3"/>
        <v>0.04</v>
      </c>
      <c r="L5" s="124">
        <f t="shared" si="4"/>
        <v>0.2</v>
      </c>
    </row>
    <row r="6" spans="1:12" ht="14.25">
      <c r="A6" s="9">
        <v>5</v>
      </c>
      <c r="B6" s="190" t="s">
        <v>332</v>
      </c>
      <c r="C6" s="1" t="s">
        <v>333</v>
      </c>
      <c r="D6" s="101" t="s">
        <v>841</v>
      </c>
      <c r="E6" s="11">
        <v>76</v>
      </c>
      <c r="F6" s="101" t="s">
        <v>842</v>
      </c>
      <c r="G6" s="20">
        <v>62.85</v>
      </c>
      <c r="H6" s="189" t="str">
        <f t="shared" si="0"/>
        <v>High/High</v>
      </c>
      <c r="I6" s="123">
        <f t="shared" si="1"/>
        <v>0.5</v>
      </c>
      <c r="J6" s="124">
        <f t="shared" si="2"/>
        <v>0.5</v>
      </c>
      <c r="K6" s="124">
        <f t="shared" si="3"/>
        <v>0.1</v>
      </c>
      <c r="L6" s="124">
        <f t="shared" si="4"/>
        <v>0.5</v>
      </c>
    </row>
    <row r="7" spans="1:12" ht="14.25">
      <c r="A7" s="9">
        <v>6</v>
      </c>
      <c r="B7" s="190" t="s">
        <v>337</v>
      </c>
      <c r="C7" s="1" t="s">
        <v>338</v>
      </c>
      <c r="D7" s="101" t="s">
        <v>841</v>
      </c>
      <c r="E7" s="11">
        <v>28</v>
      </c>
      <c r="F7" s="101" t="s">
        <v>842</v>
      </c>
      <c r="G7" s="20">
        <v>33.729999999999997</v>
      </c>
      <c r="H7" s="189" t="str">
        <f t="shared" si="0"/>
        <v>High/Low</v>
      </c>
      <c r="I7" s="123">
        <f t="shared" si="1"/>
        <v>0.3</v>
      </c>
      <c r="J7" s="124">
        <f t="shared" si="2"/>
        <v>0.3</v>
      </c>
      <c r="K7" s="124">
        <f t="shared" si="3"/>
        <v>0.06</v>
      </c>
      <c r="L7" s="124">
        <f t="shared" si="4"/>
        <v>0.3</v>
      </c>
    </row>
    <row r="8" spans="1:12" ht="14.25">
      <c r="A8" s="9">
        <v>7</v>
      </c>
      <c r="B8" s="190" t="s">
        <v>342</v>
      </c>
      <c r="C8" s="1" t="s">
        <v>343</v>
      </c>
      <c r="D8" s="101" t="s">
        <v>841</v>
      </c>
      <c r="E8" s="11">
        <v>15</v>
      </c>
      <c r="F8" s="101" t="s">
        <v>842</v>
      </c>
      <c r="G8" s="20">
        <v>37.57</v>
      </c>
      <c r="H8" s="189" t="str">
        <f t="shared" si="0"/>
        <v>Low/Low</v>
      </c>
      <c r="I8" s="123">
        <f t="shared" si="1"/>
        <v>0.2</v>
      </c>
      <c r="J8" s="124">
        <f t="shared" si="2"/>
        <v>0.2</v>
      </c>
      <c r="K8" s="124">
        <f t="shared" si="3"/>
        <v>0.04</v>
      </c>
      <c r="L8" s="124">
        <f t="shared" si="4"/>
        <v>0.2</v>
      </c>
    </row>
    <row r="9" spans="1:12" ht="14.25">
      <c r="A9" s="9">
        <v>8</v>
      </c>
      <c r="B9" s="190" t="s">
        <v>348</v>
      </c>
      <c r="C9" s="1" t="s">
        <v>349</v>
      </c>
      <c r="D9" s="101" t="s">
        <v>841</v>
      </c>
      <c r="E9" s="11">
        <v>23</v>
      </c>
      <c r="F9" s="101" t="s">
        <v>842</v>
      </c>
      <c r="G9" s="20">
        <v>39.46</v>
      </c>
      <c r="H9" s="189" t="str">
        <f t="shared" si="0"/>
        <v>Low/High</v>
      </c>
      <c r="I9" s="123">
        <f t="shared" si="1"/>
        <v>0.4</v>
      </c>
      <c r="J9" s="124">
        <f t="shared" si="2"/>
        <v>0.4</v>
      </c>
      <c r="K9" s="124">
        <f t="shared" si="3"/>
        <v>0.08</v>
      </c>
      <c r="L9" s="124">
        <f t="shared" si="4"/>
        <v>0.4</v>
      </c>
    </row>
    <row r="10" spans="1:12" ht="14.25">
      <c r="A10" s="9">
        <v>9</v>
      </c>
      <c r="B10" s="190" t="s">
        <v>353</v>
      </c>
      <c r="C10" s="1" t="s">
        <v>354</v>
      </c>
      <c r="D10" s="101" t="s">
        <v>841</v>
      </c>
      <c r="E10" s="11">
        <v>38</v>
      </c>
      <c r="F10" s="101" t="s">
        <v>842</v>
      </c>
      <c r="G10" s="20">
        <v>25.07</v>
      </c>
      <c r="H10" s="189" t="str">
        <f t="shared" si="0"/>
        <v>High/Low</v>
      </c>
      <c r="I10" s="123">
        <f t="shared" si="1"/>
        <v>0.3</v>
      </c>
      <c r="J10" s="124">
        <f t="shared" si="2"/>
        <v>0.3</v>
      </c>
      <c r="K10" s="124">
        <f t="shared" si="3"/>
        <v>0.06</v>
      </c>
      <c r="L10" s="124">
        <f t="shared" si="4"/>
        <v>0.3</v>
      </c>
    </row>
    <row r="11" spans="1:12" ht="14.25">
      <c r="A11" s="9">
        <v>10</v>
      </c>
      <c r="B11" s="190" t="s">
        <v>358</v>
      </c>
      <c r="C11" s="1" t="s">
        <v>359</v>
      </c>
      <c r="D11" s="101" t="s">
        <v>841</v>
      </c>
      <c r="E11" s="11">
        <v>37</v>
      </c>
      <c r="F11" s="101" t="s">
        <v>842</v>
      </c>
      <c r="G11" s="20">
        <v>30.28</v>
      </c>
      <c r="H11" s="189" t="str">
        <f t="shared" si="0"/>
        <v>High/Low</v>
      </c>
      <c r="I11" s="123">
        <f t="shared" si="1"/>
        <v>0.3</v>
      </c>
      <c r="J11" s="124">
        <f t="shared" si="2"/>
        <v>0.3</v>
      </c>
      <c r="K11" s="124">
        <f t="shared" si="3"/>
        <v>0.06</v>
      </c>
      <c r="L11" s="124">
        <f t="shared" si="4"/>
        <v>0.3</v>
      </c>
    </row>
    <row r="12" spans="1:12" ht="14.25">
      <c r="A12" s="9">
        <v>11</v>
      </c>
      <c r="B12" s="190" t="s">
        <v>363</v>
      </c>
      <c r="C12" s="1" t="s">
        <v>364</v>
      </c>
      <c r="D12" s="101" t="s">
        <v>841</v>
      </c>
      <c r="E12" s="11">
        <v>17</v>
      </c>
      <c r="F12" s="101" t="s">
        <v>842</v>
      </c>
      <c r="G12" s="20">
        <v>66.010000000000005</v>
      </c>
      <c r="H12" s="189" t="str">
        <f t="shared" si="0"/>
        <v>Low/High</v>
      </c>
      <c r="I12" s="123">
        <f t="shared" si="1"/>
        <v>0.4</v>
      </c>
      <c r="J12" s="124">
        <f t="shared" si="2"/>
        <v>0.4</v>
      </c>
      <c r="K12" s="124">
        <f t="shared" si="3"/>
        <v>0.08</v>
      </c>
      <c r="L12" s="124">
        <f t="shared" si="4"/>
        <v>0.4</v>
      </c>
    </row>
    <row r="13" spans="1:12" ht="14.25">
      <c r="A13" s="9">
        <v>12</v>
      </c>
      <c r="B13" s="190" t="s">
        <v>368</v>
      </c>
      <c r="C13" s="1" t="s">
        <v>278</v>
      </c>
      <c r="D13" s="101" t="s">
        <v>841</v>
      </c>
      <c r="E13" s="11">
        <v>34</v>
      </c>
      <c r="F13" s="101" t="s">
        <v>842</v>
      </c>
      <c r="G13" s="20">
        <v>42.21</v>
      </c>
      <c r="H13" s="189" t="str">
        <f t="shared" si="0"/>
        <v>High/High</v>
      </c>
      <c r="I13" s="123">
        <f t="shared" si="1"/>
        <v>0.5</v>
      </c>
      <c r="J13" s="124">
        <f t="shared" si="2"/>
        <v>0.5</v>
      </c>
      <c r="K13" s="124">
        <f t="shared" si="3"/>
        <v>0.1</v>
      </c>
      <c r="L13" s="124">
        <f t="shared" si="4"/>
        <v>0.5</v>
      </c>
    </row>
    <row r="14" spans="1:12" ht="14.25">
      <c r="A14" s="9">
        <v>13</v>
      </c>
      <c r="B14" s="190" t="s">
        <v>372</v>
      </c>
      <c r="C14" s="1" t="s">
        <v>373</v>
      </c>
      <c r="D14" s="101" t="s">
        <v>841</v>
      </c>
      <c r="E14" s="11">
        <v>29</v>
      </c>
      <c r="F14" s="101" t="s">
        <v>842</v>
      </c>
      <c r="G14" s="20">
        <v>28.57</v>
      </c>
      <c r="H14" s="189" t="str">
        <f t="shared" si="0"/>
        <v>High/Low</v>
      </c>
      <c r="I14" s="123">
        <f t="shared" si="1"/>
        <v>0.3</v>
      </c>
      <c r="J14" s="124">
        <f t="shared" si="2"/>
        <v>0.3</v>
      </c>
      <c r="K14" s="124">
        <f t="shared" si="3"/>
        <v>0.06</v>
      </c>
      <c r="L14" s="124">
        <f t="shared" si="4"/>
        <v>0.3</v>
      </c>
    </row>
    <row r="15" spans="1:12" ht="14.25">
      <c r="A15" s="9">
        <v>14</v>
      </c>
      <c r="B15" s="190" t="s">
        <v>378</v>
      </c>
      <c r="C15" s="1" t="s">
        <v>379</v>
      </c>
      <c r="D15" s="101" t="s">
        <v>841</v>
      </c>
      <c r="E15" s="11">
        <v>25</v>
      </c>
      <c r="F15" s="101" t="s">
        <v>842</v>
      </c>
      <c r="G15" s="20">
        <v>44.27</v>
      </c>
      <c r="H15" s="189" t="str">
        <f t="shared" si="0"/>
        <v>Low/High</v>
      </c>
      <c r="I15" s="123">
        <f t="shared" si="1"/>
        <v>0.4</v>
      </c>
      <c r="J15" s="124">
        <f t="shared" si="2"/>
        <v>0.4</v>
      </c>
      <c r="K15" s="124">
        <f t="shared" si="3"/>
        <v>0.08</v>
      </c>
      <c r="L15" s="124">
        <f t="shared" si="4"/>
        <v>0.4</v>
      </c>
    </row>
    <row r="16" spans="1:12" ht="14.25">
      <c r="A16" s="9">
        <v>15</v>
      </c>
      <c r="B16" s="190" t="s">
        <v>383</v>
      </c>
      <c r="C16" s="1" t="s">
        <v>384</v>
      </c>
      <c r="D16" s="101" t="s">
        <v>841</v>
      </c>
      <c r="E16" s="11">
        <v>19</v>
      </c>
      <c r="F16" s="101" t="s">
        <v>842</v>
      </c>
      <c r="G16" s="20">
        <v>47.18</v>
      </c>
      <c r="H16" s="189" t="str">
        <f t="shared" si="0"/>
        <v>Low/High</v>
      </c>
      <c r="I16" s="123">
        <f t="shared" si="1"/>
        <v>0.4</v>
      </c>
      <c r="J16" s="124">
        <f t="shared" si="2"/>
        <v>0.4</v>
      </c>
      <c r="K16" s="124">
        <f t="shared" si="3"/>
        <v>0.08</v>
      </c>
      <c r="L16" s="124">
        <f t="shared" si="4"/>
        <v>0.4</v>
      </c>
    </row>
    <row r="17" spans="1:12" ht="14.25">
      <c r="A17" s="9">
        <v>16</v>
      </c>
      <c r="B17" s="190" t="s">
        <v>388</v>
      </c>
      <c r="C17" s="1" t="s">
        <v>389</v>
      </c>
      <c r="D17" s="101" t="s">
        <v>841</v>
      </c>
      <c r="E17" s="11">
        <v>23</v>
      </c>
      <c r="F17" s="101" t="s">
        <v>842</v>
      </c>
      <c r="G17" s="20">
        <v>28.14</v>
      </c>
      <c r="H17" s="189" t="str">
        <f t="shared" si="0"/>
        <v>Low/Low</v>
      </c>
      <c r="I17" s="123">
        <f t="shared" si="1"/>
        <v>0.2</v>
      </c>
      <c r="J17" s="124">
        <f t="shared" si="2"/>
        <v>0.2</v>
      </c>
      <c r="K17" s="124">
        <f t="shared" si="3"/>
        <v>0.04</v>
      </c>
      <c r="L17" s="124">
        <f t="shared" si="4"/>
        <v>0.2</v>
      </c>
    </row>
    <row r="18" spans="1:12" ht="14.25">
      <c r="A18" s="9">
        <v>17</v>
      </c>
      <c r="B18" s="190" t="s">
        <v>393</v>
      </c>
      <c r="C18" s="1" t="s">
        <v>394</v>
      </c>
      <c r="D18" s="101" t="s">
        <v>841</v>
      </c>
      <c r="E18" s="11">
        <v>18</v>
      </c>
      <c r="F18" s="101" t="s">
        <v>842</v>
      </c>
      <c r="G18" s="20">
        <v>33.74</v>
      </c>
      <c r="H18" s="189" t="str">
        <f t="shared" si="0"/>
        <v>Low/Low</v>
      </c>
      <c r="I18" s="123">
        <f t="shared" si="1"/>
        <v>0.2</v>
      </c>
      <c r="J18" s="124">
        <f t="shared" si="2"/>
        <v>0.2</v>
      </c>
      <c r="K18" s="124">
        <f t="shared" si="3"/>
        <v>0.04</v>
      </c>
      <c r="L18" s="124">
        <f t="shared" si="4"/>
        <v>0.2</v>
      </c>
    </row>
    <row r="19" spans="1:12" ht="14.25">
      <c r="A19" s="9">
        <v>18</v>
      </c>
      <c r="B19" s="190" t="s">
        <v>398</v>
      </c>
      <c r="C19" s="1" t="s">
        <v>399</v>
      </c>
      <c r="D19" s="101" t="s">
        <v>841</v>
      </c>
      <c r="E19" s="11">
        <v>22</v>
      </c>
      <c r="F19" s="101" t="s">
        <v>842</v>
      </c>
      <c r="G19" s="20">
        <v>24.37</v>
      </c>
      <c r="H19" s="189" t="str">
        <f t="shared" si="0"/>
        <v>Low/Low</v>
      </c>
      <c r="I19" s="123">
        <f t="shared" si="1"/>
        <v>0.2</v>
      </c>
      <c r="J19" s="124">
        <f t="shared" si="2"/>
        <v>0.2</v>
      </c>
      <c r="K19" s="124">
        <f t="shared" si="3"/>
        <v>0.04</v>
      </c>
      <c r="L19" s="124">
        <f t="shared" si="4"/>
        <v>0.2</v>
      </c>
    </row>
    <row r="20" spans="1:12" ht="14.25">
      <c r="A20" s="9">
        <v>19</v>
      </c>
      <c r="B20" s="190" t="s">
        <v>403</v>
      </c>
      <c r="C20" s="1" t="s">
        <v>404</v>
      </c>
      <c r="D20" s="101" t="s">
        <v>841</v>
      </c>
      <c r="E20" s="11">
        <v>16</v>
      </c>
      <c r="F20" s="101" t="s">
        <v>842</v>
      </c>
      <c r="G20" s="20">
        <v>66.12</v>
      </c>
      <c r="H20" s="189" t="str">
        <f t="shared" si="0"/>
        <v>Low/High</v>
      </c>
      <c r="I20" s="123">
        <f t="shared" si="1"/>
        <v>0.4</v>
      </c>
      <c r="J20" s="124">
        <f t="shared" si="2"/>
        <v>0.4</v>
      </c>
      <c r="K20" s="124">
        <f t="shared" si="3"/>
        <v>0.08</v>
      </c>
      <c r="L20" s="124">
        <f t="shared" si="4"/>
        <v>0.4</v>
      </c>
    </row>
    <row r="21" spans="1:12" ht="14.25">
      <c r="A21" s="9">
        <v>20</v>
      </c>
      <c r="B21" s="190" t="s">
        <v>408</v>
      </c>
      <c r="C21" s="1" t="s">
        <v>409</v>
      </c>
      <c r="D21" s="101" t="s">
        <v>841</v>
      </c>
      <c r="E21" s="11">
        <v>25</v>
      </c>
      <c r="F21" s="101" t="s">
        <v>842</v>
      </c>
      <c r="G21" s="20">
        <v>33.619999999999997</v>
      </c>
      <c r="H21" s="189" t="str">
        <f t="shared" si="0"/>
        <v>Low/Low</v>
      </c>
      <c r="I21" s="123">
        <f t="shared" si="1"/>
        <v>0.2</v>
      </c>
      <c r="J21" s="124">
        <f t="shared" si="2"/>
        <v>0.2</v>
      </c>
      <c r="K21" s="124">
        <f t="shared" si="3"/>
        <v>0.04</v>
      </c>
      <c r="L21" s="124">
        <f t="shared" si="4"/>
        <v>0.2</v>
      </c>
    </row>
    <row r="22" spans="1:12" ht="14.25">
      <c r="A22" s="9">
        <v>21</v>
      </c>
      <c r="B22" s="190" t="s">
        <v>413</v>
      </c>
      <c r="C22" s="1" t="s">
        <v>414</v>
      </c>
      <c r="D22" s="101" t="s">
        <v>841</v>
      </c>
      <c r="E22" s="11">
        <v>18</v>
      </c>
      <c r="F22" s="101" t="s">
        <v>842</v>
      </c>
      <c r="G22" s="20">
        <v>37.25</v>
      </c>
      <c r="H22" s="189" t="str">
        <f t="shared" si="0"/>
        <v>Low/Low</v>
      </c>
      <c r="I22" s="123">
        <f t="shared" si="1"/>
        <v>0.2</v>
      </c>
      <c r="J22" s="124">
        <f t="shared" si="2"/>
        <v>0.2</v>
      </c>
      <c r="K22" s="124">
        <f t="shared" si="3"/>
        <v>0.04</v>
      </c>
      <c r="L22" s="124">
        <f t="shared" si="4"/>
        <v>0.2</v>
      </c>
    </row>
    <row r="23" spans="1:12" ht="14.25">
      <c r="A23" s="9">
        <v>22</v>
      </c>
      <c r="B23" s="190" t="s">
        <v>418</v>
      </c>
      <c r="C23" s="1" t="s">
        <v>419</v>
      </c>
      <c r="D23" s="101" t="s">
        <v>841</v>
      </c>
      <c r="E23" s="11">
        <v>43</v>
      </c>
      <c r="F23" s="101" t="s">
        <v>842</v>
      </c>
      <c r="G23" s="20">
        <v>50.46</v>
      </c>
      <c r="H23" s="189" t="str">
        <f t="shared" si="0"/>
        <v>High/High</v>
      </c>
      <c r="I23" s="123">
        <f t="shared" si="1"/>
        <v>0.5</v>
      </c>
      <c r="J23" s="124">
        <f t="shared" si="2"/>
        <v>0.5</v>
      </c>
      <c r="K23" s="124">
        <f t="shared" si="3"/>
        <v>0.1</v>
      </c>
      <c r="L23" s="124">
        <f t="shared" si="4"/>
        <v>0.5</v>
      </c>
    </row>
    <row r="24" spans="1:12" ht="14.25">
      <c r="A24" s="9">
        <v>23</v>
      </c>
      <c r="B24" s="190" t="s">
        <v>424</v>
      </c>
      <c r="C24" s="1" t="s">
        <v>425</v>
      </c>
      <c r="D24" s="101" t="s">
        <v>841</v>
      </c>
      <c r="E24" s="11">
        <v>34</v>
      </c>
      <c r="F24" s="101" t="s">
        <v>842</v>
      </c>
      <c r="G24" s="20">
        <v>40.22</v>
      </c>
      <c r="H24" s="189" t="str">
        <f t="shared" si="0"/>
        <v>High/High</v>
      </c>
      <c r="I24" s="123">
        <f t="shared" si="1"/>
        <v>0.5</v>
      </c>
      <c r="J24" s="124">
        <f t="shared" si="2"/>
        <v>0.5</v>
      </c>
      <c r="K24" s="124">
        <f t="shared" si="3"/>
        <v>0.1</v>
      </c>
      <c r="L24" s="124">
        <f t="shared" si="4"/>
        <v>0.5</v>
      </c>
    </row>
    <row r="25" spans="1:12" ht="14.25">
      <c r="A25" s="9">
        <v>24</v>
      </c>
      <c r="B25" s="190" t="s">
        <v>429</v>
      </c>
      <c r="C25" s="1" t="s">
        <v>430</v>
      </c>
      <c r="D25" s="101" t="s">
        <v>841</v>
      </c>
      <c r="E25" s="11">
        <v>23</v>
      </c>
      <c r="F25" s="101" t="s">
        <v>842</v>
      </c>
      <c r="G25" s="20">
        <v>22.45</v>
      </c>
      <c r="H25" s="189" t="str">
        <f t="shared" si="0"/>
        <v>Low/Low</v>
      </c>
      <c r="I25" s="123">
        <f t="shared" si="1"/>
        <v>0.2</v>
      </c>
      <c r="J25" s="124">
        <f t="shared" si="2"/>
        <v>0.2</v>
      </c>
      <c r="K25" s="124">
        <f t="shared" si="3"/>
        <v>0.04</v>
      </c>
      <c r="L25" s="124">
        <f t="shared" si="4"/>
        <v>0.2</v>
      </c>
    </row>
    <row r="26" spans="1:12" ht="14.25">
      <c r="A26" s="9">
        <v>25</v>
      </c>
      <c r="B26" s="190" t="s">
        <v>434</v>
      </c>
      <c r="C26" s="1" t="s">
        <v>435</v>
      </c>
      <c r="D26" s="101" t="s">
        <v>841</v>
      </c>
      <c r="E26" s="11">
        <v>28</v>
      </c>
      <c r="F26" s="101" t="s">
        <v>842</v>
      </c>
      <c r="G26" s="20">
        <v>38.32</v>
      </c>
      <c r="H26" s="189" t="str">
        <f t="shared" si="0"/>
        <v>High/Low</v>
      </c>
      <c r="I26" s="123">
        <f t="shared" si="1"/>
        <v>0.3</v>
      </c>
      <c r="J26" s="124">
        <f t="shared" si="2"/>
        <v>0.3</v>
      </c>
      <c r="K26" s="124">
        <f t="shared" si="3"/>
        <v>0.06</v>
      </c>
      <c r="L26" s="124">
        <f t="shared" si="4"/>
        <v>0.3</v>
      </c>
    </row>
    <row r="27" spans="1:12" ht="14.25">
      <c r="A27" s="9">
        <v>26</v>
      </c>
      <c r="B27" s="190" t="s">
        <v>439</v>
      </c>
      <c r="C27" s="1" t="s">
        <v>440</v>
      </c>
      <c r="D27" s="101" t="s">
        <v>841</v>
      </c>
      <c r="E27" s="11">
        <v>27</v>
      </c>
      <c r="F27" s="101" t="s">
        <v>842</v>
      </c>
      <c r="G27" s="20">
        <v>47.94</v>
      </c>
      <c r="H27" s="189" t="str">
        <f t="shared" si="0"/>
        <v>Low/High</v>
      </c>
      <c r="I27" s="123">
        <f t="shared" si="1"/>
        <v>0.4</v>
      </c>
      <c r="J27" s="124">
        <f t="shared" si="2"/>
        <v>0.4</v>
      </c>
      <c r="K27" s="124">
        <f t="shared" si="3"/>
        <v>0.08</v>
      </c>
      <c r="L27" s="124">
        <f t="shared" si="4"/>
        <v>0.4</v>
      </c>
    </row>
    <row r="28" spans="1:12" ht="14.25">
      <c r="A28" s="9">
        <v>27</v>
      </c>
      <c r="B28" s="190" t="s">
        <v>444</v>
      </c>
      <c r="C28" s="1" t="s">
        <v>445</v>
      </c>
      <c r="D28" s="101" t="s">
        <v>841</v>
      </c>
      <c r="E28" s="11">
        <v>27</v>
      </c>
      <c r="F28" s="101" t="s">
        <v>842</v>
      </c>
      <c r="G28" s="20">
        <v>30.35</v>
      </c>
      <c r="H28" s="189" t="str">
        <f t="shared" si="0"/>
        <v>Low/Low</v>
      </c>
      <c r="I28" s="123">
        <f t="shared" si="1"/>
        <v>0.2</v>
      </c>
      <c r="J28" s="124">
        <f t="shared" si="2"/>
        <v>0.2</v>
      </c>
      <c r="K28" s="124">
        <f t="shared" si="3"/>
        <v>0.04</v>
      </c>
      <c r="L28" s="124">
        <f t="shared" si="4"/>
        <v>0.2</v>
      </c>
    </row>
    <row r="29" spans="1:12" ht="14.25">
      <c r="A29" s="9">
        <v>28</v>
      </c>
      <c r="B29" s="190" t="s">
        <v>449</v>
      </c>
      <c r="C29" s="1" t="s">
        <v>450</v>
      </c>
      <c r="D29" s="101" t="s">
        <v>841</v>
      </c>
      <c r="E29" s="11">
        <v>16</v>
      </c>
      <c r="F29" s="101" t="s">
        <v>842</v>
      </c>
      <c r="G29" s="20">
        <v>7.62</v>
      </c>
      <c r="H29" s="189" t="str">
        <f t="shared" si="0"/>
        <v>Low/Low</v>
      </c>
      <c r="I29" s="123">
        <f t="shared" si="1"/>
        <v>0.2</v>
      </c>
      <c r="J29" s="124">
        <f t="shared" si="2"/>
        <v>0.2</v>
      </c>
      <c r="K29" s="124">
        <f t="shared" si="3"/>
        <v>0.04</v>
      </c>
      <c r="L29" s="124">
        <f t="shared" si="4"/>
        <v>0.2</v>
      </c>
    </row>
    <row r="30" spans="1:12" ht="14.25">
      <c r="A30" s="9">
        <v>29</v>
      </c>
      <c r="B30" s="190" t="s">
        <v>454</v>
      </c>
      <c r="C30" s="1" t="s">
        <v>455</v>
      </c>
      <c r="D30" s="101" t="s">
        <v>841</v>
      </c>
      <c r="E30" s="11">
        <v>15</v>
      </c>
      <c r="F30" s="101" t="s">
        <v>842</v>
      </c>
      <c r="G30" s="20">
        <v>45.9</v>
      </c>
      <c r="H30" s="189" t="str">
        <f t="shared" si="0"/>
        <v>Low/High</v>
      </c>
      <c r="I30" s="123">
        <f t="shared" si="1"/>
        <v>0.4</v>
      </c>
      <c r="J30" s="124">
        <f t="shared" si="2"/>
        <v>0.4</v>
      </c>
      <c r="K30" s="124">
        <f t="shared" si="3"/>
        <v>0.08</v>
      </c>
      <c r="L30" s="124">
        <f t="shared" si="4"/>
        <v>0.4</v>
      </c>
    </row>
    <row r="31" spans="1:12" ht="14.25">
      <c r="A31" s="9">
        <v>30</v>
      </c>
      <c r="B31" s="190" t="s">
        <v>459</v>
      </c>
      <c r="C31" s="1" t="s">
        <v>460</v>
      </c>
      <c r="D31" s="101" t="s">
        <v>841</v>
      </c>
      <c r="E31" s="11">
        <v>31</v>
      </c>
      <c r="F31" s="101" t="s">
        <v>842</v>
      </c>
      <c r="G31" s="20">
        <v>32.630000000000003</v>
      </c>
      <c r="H31" s="189" t="str">
        <f t="shared" si="0"/>
        <v>High/Low</v>
      </c>
      <c r="I31" s="123">
        <f t="shared" si="1"/>
        <v>0.3</v>
      </c>
      <c r="J31" s="124">
        <f t="shared" si="2"/>
        <v>0.3</v>
      </c>
      <c r="K31" s="124">
        <f t="shared" si="3"/>
        <v>0.06</v>
      </c>
      <c r="L31" s="124">
        <f t="shared" si="4"/>
        <v>0.3</v>
      </c>
    </row>
    <row r="32" spans="1:12" ht="14.25">
      <c r="A32" s="9">
        <v>31</v>
      </c>
      <c r="B32" s="190" t="s">
        <v>464</v>
      </c>
      <c r="C32" s="1" t="s">
        <v>465</v>
      </c>
      <c r="D32" s="101" t="s">
        <v>841</v>
      </c>
      <c r="E32" s="11">
        <v>24</v>
      </c>
      <c r="F32" s="101" t="s">
        <v>842</v>
      </c>
      <c r="G32" s="20">
        <v>53.7</v>
      </c>
      <c r="H32" s="189" t="str">
        <f t="shared" si="0"/>
        <v>Low/High</v>
      </c>
      <c r="I32" s="123">
        <f t="shared" si="1"/>
        <v>0.4</v>
      </c>
      <c r="J32" s="124">
        <f t="shared" si="2"/>
        <v>0.4</v>
      </c>
      <c r="K32" s="124">
        <f t="shared" si="3"/>
        <v>0.08</v>
      </c>
      <c r="L32" s="124">
        <f t="shared" si="4"/>
        <v>0.4</v>
      </c>
    </row>
    <row r="33" spans="1:12" ht="14.25">
      <c r="A33" s="9">
        <v>32</v>
      </c>
      <c r="B33" s="190" t="s">
        <v>469</v>
      </c>
      <c r="C33" s="1" t="s">
        <v>470</v>
      </c>
      <c r="D33" s="101" t="s">
        <v>841</v>
      </c>
      <c r="E33" s="11">
        <v>37</v>
      </c>
      <c r="F33" s="101" t="s">
        <v>842</v>
      </c>
      <c r="G33" s="20">
        <v>41.66</v>
      </c>
      <c r="H33" s="189" t="str">
        <f t="shared" si="0"/>
        <v>High/High</v>
      </c>
      <c r="I33" s="123">
        <f t="shared" si="1"/>
        <v>0.5</v>
      </c>
      <c r="J33" s="124">
        <f t="shared" si="2"/>
        <v>0.5</v>
      </c>
      <c r="K33" s="124">
        <f t="shared" si="3"/>
        <v>0.1</v>
      </c>
      <c r="L33" s="124">
        <f t="shared" si="4"/>
        <v>0.5</v>
      </c>
    </row>
    <row r="34" spans="1:12" ht="14.25">
      <c r="A34" s="9">
        <v>33</v>
      </c>
      <c r="B34" s="190" t="s">
        <v>474</v>
      </c>
      <c r="C34" s="1" t="s">
        <v>475</v>
      </c>
      <c r="D34" s="101" t="s">
        <v>841</v>
      </c>
      <c r="E34" s="11">
        <v>42</v>
      </c>
      <c r="F34" s="101" t="s">
        <v>842</v>
      </c>
      <c r="G34" s="20">
        <v>34.229999999999997</v>
      </c>
      <c r="H34" s="189" t="str">
        <f t="shared" si="0"/>
        <v>High/Low</v>
      </c>
      <c r="I34" s="123">
        <f t="shared" si="1"/>
        <v>0.3</v>
      </c>
      <c r="J34" s="124">
        <f t="shared" si="2"/>
        <v>0.3</v>
      </c>
      <c r="K34" s="124">
        <f t="shared" si="3"/>
        <v>0.06</v>
      </c>
      <c r="L34" s="124">
        <f t="shared" si="4"/>
        <v>0.3</v>
      </c>
    </row>
    <row r="35" spans="1:12" ht="14.25">
      <c r="A35" s="9">
        <v>34</v>
      </c>
      <c r="B35" s="190" t="s">
        <v>479</v>
      </c>
      <c r="C35" s="1" t="s">
        <v>480</v>
      </c>
      <c r="D35" s="101" t="s">
        <v>841</v>
      </c>
      <c r="E35" s="11">
        <v>28</v>
      </c>
      <c r="F35" s="101" t="s">
        <v>842</v>
      </c>
      <c r="G35" s="20">
        <v>32.799999999999997</v>
      </c>
      <c r="H35" s="189" t="str">
        <f t="shared" si="0"/>
        <v>High/Low</v>
      </c>
      <c r="I35" s="123">
        <f t="shared" si="1"/>
        <v>0.3</v>
      </c>
      <c r="J35" s="124">
        <f t="shared" si="2"/>
        <v>0.3</v>
      </c>
      <c r="K35" s="124">
        <f t="shared" si="3"/>
        <v>0.06</v>
      </c>
      <c r="L35" s="124">
        <f t="shared" si="4"/>
        <v>0.3</v>
      </c>
    </row>
    <row r="36" spans="1:12" ht="14.25">
      <c r="A36" s="9">
        <v>35</v>
      </c>
      <c r="B36" s="190" t="s">
        <v>484</v>
      </c>
      <c r="C36" s="1" t="s">
        <v>485</v>
      </c>
      <c r="D36" s="101" t="s">
        <v>841</v>
      </c>
      <c r="E36" s="11">
        <v>31</v>
      </c>
      <c r="F36" s="101" t="s">
        <v>842</v>
      </c>
      <c r="G36" s="20">
        <v>40.79</v>
      </c>
      <c r="H36" s="189" t="str">
        <f t="shared" si="0"/>
        <v>High/High</v>
      </c>
      <c r="I36" s="123">
        <f t="shared" si="1"/>
        <v>0.5</v>
      </c>
      <c r="J36" s="124">
        <f t="shared" si="2"/>
        <v>0.5</v>
      </c>
      <c r="K36" s="124">
        <f t="shared" si="3"/>
        <v>0.1</v>
      </c>
      <c r="L36" s="124">
        <f t="shared" si="4"/>
        <v>0.5</v>
      </c>
    </row>
    <row r="37" spans="1:12" ht="14.25">
      <c r="A37" s="9">
        <v>36</v>
      </c>
      <c r="B37" s="190" t="s">
        <v>141</v>
      </c>
      <c r="C37" s="1" t="s">
        <v>489</v>
      </c>
      <c r="D37" s="101" t="s">
        <v>841</v>
      </c>
      <c r="E37" s="11">
        <v>25</v>
      </c>
      <c r="F37" s="101" t="s">
        <v>842</v>
      </c>
      <c r="G37" s="20">
        <v>36.56</v>
      </c>
      <c r="H37" s="189" t="str">
        <f t="shared" si="0"/>
        <v>Low/Low</v>
      </c>
      <c r="I37" s="123">
        <f t="shared" si="1"/>
        <v>0.2</v>
      </c>
      <c r="J37" s="124">
        <f t="shared" si="2"/>
        <v>0.2</v>
      </c>
      <c r="K37" s="124">
        <f t="shared" si="3"/>
        <v>0.04</v>
      </c>
      <c r="L37" s="124">
        <f t="shared" si="4"/>
        <v>0.2</v>
      </c>
    </row>
    <row r="38" spans="1:12" ht="14.25">
      <c r="A38" s="9">
        <v>37</v>
      </c>
      <c r="B38" s="190" t="s">
        <v>493</v>
      </c>
      <c r="C38" s="1" t="s">
        <v>494</v>
      </c>
      <c r="D38" s="101" t="s">
        <v>841</v>
      </c>
      <c r="E38" s="11">
        <v>46</v>
      </c>
      <c r="F38" s="101" t="s">
        <v>842</v>
      </c>
      <c r="G38" s="20">
        <v>69.19</v>
      </c>
      <c r="H38" s="189" t="str">
        <f t="shared" si="0"/>
        <v>High/High</v>
      </c>
      <c r="I38" s="123">
        <f t="shared" si="1"/>
        <v>0.5</v>
      </c>
      <c r="J38" s="124">
        <f t="shared" si="2"/>
        <v>0.5</v>
      </c>
      <c r="K38" s="124">
        <f t="shared" si="3"/>
        <v>0.1</v>
      </c>
      <c r="L38" s="124">
        <f t="shared" si="4"/>
        <v>0.5</v>
      </c>
    </row>
    <row r="39" spans="1:12" ht="14.25">
      <c r="A39" s="9">
        <v>38</v>
      </c>
      <c r="B39" s="190" t="s">
        <v>498</v>
      </c>
      <c r="C39" s="1" t="s">
        <v>499</v>
      </c>
      <c r="D39" s="101" t="s">
        <v>841</v>
      </c>
      <c r="E39" s="11">
        <v>32</v>
      </c>
      <c r="F39" s="101" t="s">
        <v>842</v>
      </c>
      <c r="G39" s="20">
        <v>45.47</v>
      </c>
      <c r="H39" s="189" t="str">
        <f t="shared" si="0"/>
        <v>High/High</v>
      </c>
      <c r="I39" s="123">
        <f t="shared" si="1"/>
        <v>0.5</v>
      </c>
      <c r="J39" s="124">
        <f t="shared" si="2"/>
        <v>0.5</v>
      </c>
      <c r="K39" s="124">
        <f t="shared" si="3"/>
        <v>0.1</v>
      </c>
      <c r="L39" s="124">
        <f t="shared" si="4"/>
        <v>0.5</v>
      </c>
    </row>
    <row r="40" spans="1:12" ht="14.25">
      <c r="A40" s="9">
        <v>39</v>
      </c>
      <c r="B40" s="190" t="s">
        <v>503</v>
      </c>
      <c r="C40" s="1" t="s">
        <v>504</v>
      </c>
      <c r="D40" s="101" t="s">
        <v>841</v>
      </c>
      <c r="E40" s="11">
        <v>13</v>
      </c>
      <c r="F40" s="101" t="s">
        <v>842</v>
      </c>
      <c r="G40" s="20">
        <v>35.89</v>
      </c>
      <c r="H40" s="189" t="str">
        <f t="shared" si="0"/>
        <v>Low/Low</v>
      </c>
      <c r="I40" s="123">
        <f t="shared" si="1"/>
        <v>0.2</v>
      </c>
      <c r="J40" s="124">
        <f t="shared" si="2"/>
        <v>0.2</v>
      </c>
      <c r="K40" s="124">
        <f t="shared" si="3"/>
        <v>0.04</v>
      </c>
      <c r="L40" s="124">
        <f t="shared" si="4"/>
        <v>0.2</v>
      </c>
    </row>
    <row r="41" spans="1:12" ht="14.25">
      <c r="A41" s="9">
        <v>40</v>
      </c>
      <c r="B41" s="190" t="s">
        <v>508</v>
      </c>
      <c r="C41" s="1" t="s">
        <v>509</v>
      </c>
      <c r="D41" s="101" t="s">
        <v>841</v>
      </c>
      <c r="E41" s="11">
        <v>27</v>
      </c>
      <c r="F41" s="101" t="s">
        <v>842</v>
      </c>
      <c r="G41" s="20">
        <v>38.36</v>
      </c>
      <c r="H41" s="189" t="str">
        <f t="shared" si="0"/>
        <v>Low/Low</v>
      </c>
      <c r="I41" s="123">
        <f t="shared" si="1"/>
        <v>0.2</v>
      </c>
      <c r="J41" s="124">
        <f t="shared" si="2"/>
        <v>0.2</v>
      </c>
      <c r="K41" s="124">
        <f t="shared" si="3"/>
        <v>0.04</v>
      </c>
      <c r="L41" s="124">
        <f t="shared" si="4"/>
        <v>0.2</v>
      </c>
    </row>
    <row r="42" spans="1:12" ht="14.25">
      <c r="A42" s="9">
        <v>41</v>
      </c>
      <c r="B42" s="190" t="s">
        <v>513</v>
      </c>
      <c r="C42" s="1" t="s">
        <v>514</v>
      </c>
      <c r="D42" s="101" t="s">
        <v>841</v>
      </c>
      <c r="E42" s="11">
        <v>24</v>
      </c>
      <c r="F42" s="101" t="s">
        <v>842</v>
      </c>
      <c r="G42" s="20">
        <v>31.57</v>
      </c>
      <c r="H42" s="189" t="str">
        <f t="shared" si="0"/>
        <v>Low/Low</v>
      </c>
      <c r="I42" s="123">
        <f t="shared" si="1"/>
        <v>0.2</v>
      </c>
      <c r="J42" s="124">
        <f t="shared" si="2"/>
        <v>0.2</v>
      </c>
      <c r="K42" s="124">
        <f t="shared" si="3"/>
        <v>0.04</v>
      </c>
      <c r="L42" s="124">
        <f t="shared" si="4"/>
        <v>0.2</v>
      </c>
    </row>
    <row r="43" spans="1:12" ht="14.25">
      <c r="A43" s="9">
        <v>42</v>
      </c>
      <c r="B43" s="190" t="s">
        <v>518</v>
      </c>
      <c r="C43" s="1" t="s">
        <v>519</v>
      </c>
      <c r="D43" s="101" t="s">
        <v>841</v>
      </c>
      <c r="E43" s="11">
        <v>23</v>
      </c>
      <c r="F43" s="101" t="s">
        <v>842</v>
      </c>
      <c r="G43" s="20">
        <v>26.59</v>
      </c>
      <c r="H43" s="189" t="str">
        <f t="shared" si="0"/>
        <v>Low/Low</v>
      </c>
      <c r="I43" s="123">
        <f t="shared" si="1"/>
        <v>0.2</v>
      </c>
      <c r="J43" s="124">
        <f t="shared" si="2"/>
        <v>0.2</v>
      </c>
      <c r="K43" s="124">
        <f t="shared" si="3"/>
        <v>0.04</v>
      </c>
      <c r="L43" s="124">
        <f t="shared" si="4"/>
        <v>0.2</v>
      </c>
    </row>
    <row r="44" spans="1:12" ht="14.25">
      <c r="A44" s="9">
        <v>43</v>
      </c>
      <c r="B44" s="190" t="s">
        <v>523</v>
      </c>
      <c r="C44" s="1" t="s">
        <v>524</v>
      </c>
      <c r="D44" s="101" t="s">
        <v>841</v>
      </c>
      <c r="E44" s="11">
        <v>44</v>
      </c>
      <c r="F44" s="101" t="s">
        <v>842</v>
      </c>
      <c r="G44" s="20">
        <v>23.03</v>
      </c>
      <c r="H44" s="189" t="str">
        <f t="shared" si="0"/>
        <v>High/Low</v>
      </c>
      <c r="I44" s="123">
        <f t="shared" si="1"/>
        <v>0.3</v>
      </c>
      <c r="J44" s="124">
        <f t="shared" si="2"/>
        <v>0.3</v>
      </c>
      <c r="K44" s="124">
        <f t="shared" si="3"/>
        <v>0.06</v>
      </c>
      <c r="L44" s="124">
        <f t="shared" si="4"/>
        <v>0.3</v>
      </c>
    </row>
    <row r="45" spans="1:12" ht="14.25">
      <c r="A45" s="9">
        <v>44</v>
      </c>
      <c r="B45" s="190" t="s">
        <v>528</v>
      </c>
      <c r="C45" s="1" t="s">
        <v>529</v>
      </c>
      <c r="D45" s="101" t="s">
        <v>841</v>
      </c>
      <c r="E45" s="11">
        <v>23</v>
      </c>
      <c r="F45" s="101" t="s">
        <v>842</v>
      </c>
      <c r="G45" s="20">
        <v>22.61</v>
      </c>
      <c r="H45" s="189" t="str">
        <f t="shared" si="0"/>
        <v>Low/Low</v>
      </c>
      <c r="I45" s="123">
        <f t="shared" si="1"/>
        <v>0.2</v>
      </c>
      <c r="J45" s="124">
        <f t="shared" si="2"/>
        <v>0.2</v>
      </c>
      <c r="K45" s="124">
        <f t="shared" si="3"/>
        <v>0.04</v>
      </c>
      <c r="L45" s="124">
        <f t="shared" si="4"/>
        <v>0.2</v>
      </c>
    </row>
    <row r="46" spans="1:12" ht="14.25">
      <c r="A46" s="9">
        <v>45</v>
      </c>
      <c r="B46" s="190" t="s">
        <v>533</v>
      </c>
      <c r="C46" s="1" t="s">
        <v>534</v>
      </c>
      <c r="D46" s="101" t="s">
        <v>841</v>
      </c>
      <c r="E46" s="11">
        <v>14</v>
      </c>
      <c r="F46" s="101" t="s">
        <v>842</v>
      </c>
      <c r="G46" s="20">
        <v>100</v>
      </c>
      <c r="H46" s="189" t="str">
        <f t="shared" si="0"/>
        <v>Low/High</v>
      </c>
      <c r="I46" s="123">
        <f t="shared" si="1"/>
        <v>0.4</v>
      </c>
      <c r="J46" s="124">
        <f t="shared" si="2"/>
        <v>0.4</v>
      </c>
      <c r="K46" s="124">
        <f t="shared" si="3"/>
        <v>0.08</v>
      </c>
      <c r="L46" s="124">
        <f t="shared" si="4"/>
        <v>0.4</v>
      </c>
    </row>
    <row r="47" spans="1:12" ht="14.25">
      <c r="A47" s="9">
        <v>46</v>
      </c>
      <c r="B47" s="190" t="s">
        <v>538</v>
      </c>
      <c r="C47" s="1" t="s">
        <v>539</v>
      </c>
      <c r="D47" s="101" t="s">
        <v>841</v>
      </c>
      <c r="E47" s="11">
        <v>32</v>
      </c>
      <c r="F47" s="101" t="s">
        <v>842</v>
      </c>
      <c r="G47" s="20">
        <v>40.24</v>
      </c>
      <c r="H47" s="189" t="str">
        <f t="shared" si="0"/>
        <v>High/High</v>
      </c>
      <c r="I47" s="123">
        <f t="shared" si="1"/>
        <v>0.5</v>
      </c>
      <c r="J47" s="124">
        <f t="shared" si="2"/>
        <v>0.5</v>
      </c>
      <c r="K47" s="124">
        <f t="shared" si="3"/>
        <v>0.1</v>
      </c>
      <c r="L47" s="124">
        <f t="shared" si="4"/>
        <v>0.5</v>
      </c>
    </row>
    <row r="48" spans="1:12" ht="14.25">
      <c r="A48" s="9">
        <v>47</v>
      </c>
      <c r="B48" s="190" t="s">
        <v>543</v>
      </c>
      <c r="C48" s="1" t="s">
        <v>544</v>
      </c>
      <c r="D48" s="101" t="s">
        <v>841</v>
      </c>
      <c r="E48" s="11">
        <v>49</v>
      </c>
      <c r="F48" s="101" t="s">
        <v>842</v>
      </c>
      <c r="G48" s="20">
        <v>61.75</v>
      </c>
      <c r="H48" s="189" t="str">
        <f t="shared" si="0"/>
        <v>High/High</v>
      </c>
      <c r="I48" s="123">
        <f t="shared" si="1"/>
        <v>0.5</v>
      </c>
      <c r="J48" s="124">
        <f t="shared" si="2"/>
        <v>0.5</v>
      </c>
      <c r="K48" s="124">
        <f t="shared" si="3"/>
        <v>0.1</v>
      </c>
      <c r="L48" s="124">
        <f t="shared" si="4"/>
        <v>0.5</v>
      </c>
    </row>
    <row r="49" spans="1:12" ht="14.25">
      <c r="A49" s="9">
        <v>48</v>
      </c>
      <c r="B49" s="190" t="s">
        <v>548</v>
      </c>
      <c r="C49" s="1" t="s">
        <v>549</v>
      </c>
      <c r="D49" s="101" t="s">
        <v>841</v>
      </c>
      <c r="E49" s="11">
        <v>21</v>
      </c>
      <c r="F49" s="101" t="s">
        <v>842</v>
      </c>
      <c r="G49" s="20">
        <v>32.57</v>
      </c>
      <c r="H49" s="189" t="str">
        <f t="shared" si="0"/>
        <v>Low/Low</v>
      </c>
      <c r="I49" s="123">
        <f t="shared" si="1"/>
        <v>0.2</v>
      </c>
      <c r="J49" s="124">
        <f t="shared" si="2"/>
        <v>0.2</v>
      </c>
      <c r="K49" s="124">
        <f t="shared" si="3"/>
        <v>0.04</v>
      </c>
      <c r="L49" s="124">
        <f t="shared" si="4"/>
        <v>0.2</v>
      </c>
    </row>
    <row r="50" spans="1:12" ht="14.25">
      <c r="A50" s="9">
        <v>49</v>
      </c>
      <c r="B50" s="190" t="s">
        <v>553</v>
      </c>
      <c r="C50" s="1" t="s">
        <v>554</v>
      </c>
      <c r="D50" s="101" t="s">
        <v>841</v>
      </c>
      <c r="E50" s="11">
        <v>38</v>
      </c>
      <c r="F50" s="101" t="s">
        <v>842</v>
      </c>
      <c r="G50" s="20">
        <v>51.04</v>
      </c>
      <c r="H50" s="189" t="str">
        <f t="shared" si="0"/>
        <v>High/High</v>
      </c>
      <c r="I50" s="123">
        <f t="shared" si="1"/>
        <v>0.5</v>
      </c>
      <c r="J50" s="124">
        <f t="shared" si="2"/>
        <v>0.5</v>
      </c>
      <c r="K50" s="124">
        <f t="shared" si="3"/>
        <v>0.1</v>
      </c>
      <c r="L50" s="124">
        <f t="shared" si="4"/>
        <v>0.5</v>
      </c>
    </row>
    <row r="51" spans="1:12" ht="14.25">
      <c r="A51" s="13">
        <v>50</v>
      </c>
      <c r="B51" s="106" t="s">
        <v>558</v>
      </c>
      <c r="C51" s="14" t="s">
        <v>559</v>
      </c>
      <c r="D51" s="107" t="s">
        <v>841</v>
      </c>
      <c r="E51" s="16">
        <v>18</v>
      </c>
      <c r="F51" s="107" t="s">
        <v>842</v>
      </c>
      <c r="G51" s="21">
        <v>43.61</v>
      </c>
      <c r="H51" s="189" t="str">
        <f t="shared" si="0"/>
        <v>Low/High</v>
      </c>
      <c r="I51" s="123">
        <f t="shared" si="1"/>
        <v>0.4</v>
      </c>
      <c r="J51" s="127">
        <f t="shared" si="2"/>
        <v>0.4</v>
      </c>
      <c r="K51" s="124">
        <f t="shared" si="3"/>
        <v>0.08</v>
      </c>
      <c r="L51" s="124">
        <f t="shared" si="4"/>
        <v>0.4</v>
      </c>
    </row>
    <row r="52" spans="1:12" s="4" customFormat="1" ht="14.25">
      <c r="C52" s="142" t="s">
        <v>843</v>
      </c>
      <c r="D52" s="143"/>
      <c r="E52" s="118">
        <f>_xlfn.PERCENTILE.INC($E$2:$E$51, 0.7)</f>
        <v>31</v>
      </c>
      <c r="F52" s="143"/>
      <c r="G52" s="144">
        <f>_xlfn.PERCENTILE.INC($G$2:$G$51, 0.7)</f>
        <v>42.629999999999995</v>
      </c>
      <c r="H52" s="103"/>
      <c r="I52" s="58"/>
    </row>
    <row r="53" spans="1:12" s="4" customFormat="1" ht="14.25">
      <c r="C53" s="142" t="s">
        <v>844</v>
      </c>
      <c r="D53" s="143"/>
      <c r="E53" s="118">
        <f>_xlfn.PERCENTILE.INC($E$2:$E$51, 0.3)</f>
        <v>23</v>
      </c>
      <c r="F53" s="143"/>
      <c r="G53" s="144">
        <f>_xlfn.PERCENTILE.INC($G$2:$G$51, 0.3)</f>
        <v>31.204000000000001</v>
      </c>
      <c r="H53" s="103"/>
      <c r="I53" s="58"/>
    </row>
    <row r="54" spans="1:12" s="4" customFormat="1" ht="14.25">
      <c r="C54" s="142" t="s">
        <v>716</v>
      </c>
      <c r="D54" s="143"/>
      <c r="E54" s="118">
        <f>AVERAGE(E2:E51)</f>
        <v>27.66</v>
      </c>
      <c r="F54" s="143"/>
      <c r="G54" s="144">
        <f>AVERAGE(G2:G51)</f>
        <v>39.3718</v>
      </c>
      <c r="H54" s="103"/>
      <c r="I54" s="58"/>
    </row>
    <row r="55" spans="1:12" s="4" customFormat="1" ht="15" thickBot="1">
      <c r="C55" s="145" t="s">
        <v>845</v>
      </c>
      <c r="D55" s="146"/>
      <c r="E55" s="147">
        <f>MEDIAN(E2:E51)</f>
        <v>25</v>
      </c>
      <c r="F55" s="146"/>
      <c r="G55" s="148">
        <f>MEDIAN(G2:G51)</f>
        <v>36.905000000000001</v>
      </c>
      <c r="H55" s="103"/>
      <c r="I55" s="58"/>
    </row>
    <row r="56" spans="1:12" s="4" customFormat="1">
      <c r="C56" s="104"/>
    </row>
    <row r="57" spans="1:12" s="4" customFormat="1">
      <c r="C57" s="104"/>
    </row>
    <row r="58" spans="1:12" s="4" customFormat="1">
      <c r="C58" s="104"/>
    </row>
    <row r="59" spans="1:12" s="4" customFormat="1"/>
    <row r="60" spans="1:12" s="4" customFormat="1"/>
    <row r="61" spans="1:12" s="4" customFormat="1"/>
    <row r="62" spans="1:12" s="4" customFormat="1"/>
    <row r="63" spans="1:12" s="4" customFormat="1"/>
    <row r="64" spans="1:12"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sheetData>
  <hyperlinks>
    <hyperlink ref="D2" r:id="rId1" xr:uid="{C6514C9F-4A3C-46C5-AF4A-06805349E08A}"/>
    <hyperlink ref="F2" r:id="rId2" xr:uid="{9F38BE17-E25E-4E8E-BC34-4340EB4A0BB8}"/>
    <hyperlink ref="D3" r:id="rId3" xr:uid="{B98BEDB5-3265-40EB-B36B-B1A7F7E32EB6}"/>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52E41-D88A-4E12-8552-55E2A56E9BD9}">
  <sheetPr>
    <tabColor theme="0"/>
  </sheetPr>
  <dimension ref="A1:BV153"/>
  <sheetViews>
    <sheetView workbookViewId="0">
      <pane xSplit="2" ySplit="1" topLeftCell="C2" activePane="bottomRight" state="frozen"/>
      <selection pane="bottomRight" activeCell="D2" sqref="D2"/>
      <selection pane="bottomLeft" activeCell="A2" sqref="A2"/>
      <selection pane="topRight" activeCell="C1" sqref="C1"/>
    </sheetView>
  </sheetViews>
  <sheetFormatPr defaultColWidth="11" defaultRowHeight="14.25" outlineLevelCol="1"/>
  <cols>
    <col min="1" max="1" width="7.42578125" style="1" customWidth="1"/>
    <col min="2" max="2" width="15.42578125" style="1" customWidth="1"/>
    <col min="3" max="3" width="13.42578125" style="1" customWidth="1"/>
    <col min="4" max="4" width="13.42578125" style="1" hidden="1" customWidth="1" outlineLevel="1"/>
    <col min="5" max="5" width="13.42578125" style="1" customWidth="1" collapsed="1"/>
    <col min="6" max="11" width="13.42578125" style="1" customWidth="1"/>
    <col min="12" max="12" width="20.28515625" style="4" hidden="1" customWidth="1" outlineLevel="1"/>
    <col min="13" max="13" width="18.7109375" style="4" customWidth="1" collapsed="1"/>
    <col min="14" max="14" width="15.42578125" style="4" customWidth="1"/>
    <col min="15" max="17" width="17.85546875" style="4" customWidth="1"/>
    <col min="18" max="18" width="23.7109375" style="4" customWidth="1"/>
    <col min="19" max="19" width="19.5703125" style="26" customWidth="1"/>
    <col min="20" max="20" width="17.42578125" style="26" customWidth="1"/>
    <col min="21" max="21" width="16.85546875" style="26" customWidth="1"/>
    <col min="22" max="22" width="17.42578125" style="26" customWidth="1"/>
    <col min="23" max="23" width="16.42578125" style="26" customWidth="1"/>
    <col min="24" max="46" width="18.42578125" style="26" customWidth="1"/>
    <col min="47" max="47" width="21.140625" style="26" customWidth="1"/>
    <col min="48" max="48" width="19.7109375" style="26" customWidth="1"/>
    <col min="49" max="50" width="18.42578125" style="26" customWidth="1"/>
    <col min="51" max="51" width="21.140625" style="26" customWidth="1"/>
    <col min="52" max="52" width="19.7109375" style="26" customWidth="1"/>
    <col min="53" max="54" width="18.42578125" style="26" customWidth="1"/>
    <col min="55" max="55" width="21.140625" style="26" customWidth="1"/>
    <col min="56" max="56" width="19.7109375" style="26" customWidth="1"/>
    <col min="57" max="58" width="18.42578125" style="26" customWidth="1"/>
    <col min="59" max="59" width="21.140625" style="26" customWidth="1"/>
    <col min="60" max="60" width="19.7109375" style="26" customWidth="1"/>
    <col min="61" max="61" width="21.5703125" style="26" customWidth="1"/>
    <col min="62" max="62" width="21.42578125" style="26" customWidth="1"/>
    <col min="63" max="63" width="24.140625" style="26" customWidth="1"/>
    <col min="64" max="64" width="19.7109375" style="26" customWidth="1"/>
    <col min="65" max="65" width="19.42578125" style="26" customWidth="1"/>
    <col min="66" max="66" width="18.85546875" style="26" customWidth="1"/>
    <col min="67" max="67" width="21.140625" style="26" customWidth="1"/>
    <col min="68" max="68" width="19.140625" customWidth="1"/>
  </cols>
  <sheetData>
    <row r="1" spans="1:74" ht="51.6">
      <c r="A1" s="5" t="s">
        <v>278</v>
      </c>
      <c r="B1" s="6" t="s">
        <v>279</v>
      </c>
      <c r="C1" s="6" t="s">
        <v>280</v>
      </c>
      <c r="D1" s="5" t="s">
        <v>846</v>
      </c>
      <c r="E1" s="7" t="s">
        <v>847</v>
      </c>
      <c r="F1" s="7" t="s">
        <v>848</v>
      </c>
      <c r="G1" s="7" t="s">
        <v>849</v>
      </c>
      <c r="H1" s="7" t="s">
        <v>850</v>
      </c>
      <c r="I1" s="7" t="s">
        <v>851</v>
      </c>
      <c r="J1" s="7" t="s">
        <v>852</v>
      </c>
      <c r="K1" s="18" t="s">
        <v>244</v>
      </c>
      <c r="L1" s="158" t="s">
        <v>282</v>
      </c>
      <c r="M1" s="7" t="s">
        <v>853</v>
      </c>
      <c r="N1" s="7" t="s">
        <v>854</v>
      </c>
      <c r="O1" s="7" t="s">
        <v>855</v>
      </c>
      <c r="P1" s="7" t="s">
        <v>856</v>
      </c>
      <c r="Q1" s="7" t="s">
        <v>857</v>
      </c>
      <c r="R1" s="18" t="s">
        <v>858</v>
      </c>
      <c r="S1" s="184" t="s">
        <v>859</v>
      </c>
      <c r="T1" s="61" t="s">
        <v>860</v>
      </c>
      <c r="U1" s="61" t="s">
        <v>861</v>
      </c>
      <c r="V1" s="61" t="s">
        <v>862</v>
      </c>
      <c r="W1" s="61" t="s">
        <v>863</v>
      </c>
      <c r="X1" s="177" t="s">
        <v>864</v>
      </c>
      <c r="Y1" s="184" t="s">
        <v>865</v>
      </c>
      <c r="Z1" s="61" t="s">
        <v>866</v>
      </c>
      <c r="AA1" s="61" t="s">
        <v>867</v>
      </c>
      <c r="AB1" s="177" t="s">
        <v>868</v>
      </c>
      <c r="AC1" s="245" t="s">
        <v>869</v>
      </c>
      <c r="AD1" s="61" t="s">
        <v>870</v>
      </c>
      <c r="AE1" s="61" t="s">
        <v>871</v>
      </c>
      <c r="AF1" s="239" t="s">
        <v>872</v>
      </c>
      <c r="AG1" s="245" t="s">
        <v>873</v>
      </c>
      <c r="AH1" s="61" t="s">
        <v>874</v>
      </c>
      <c r="AI1" s="61" t="s">
        <v>875</v>
      </c>
      <c r="AJ1" s="239" t="s">
        <v>876</v>
      </c>
      <c r="AK1" s="245" t="s">
        <v>877</v>
      </c>
      <c r="AL1" s="61" t="s">
        <v>878</v>
      </c>
      <c r="AM1" s="61" t="s">
        <v>879</v>
      </c>
      <c r="AN1" s="239" t="s">
        <v>880</v>
      </c>
      <c r="AO1" s="245" t="s">
        <v>881</v>
      </c>
      <c r="AP1" s="61" t="s">
        <v>882</v>
      </c>
      <c r="AQ1" s="61" t="s">
        <v>883</v>
      </c>
      <c r="AR1" s="239" t="s">
        <v>884</v>
      </c>
      <c r="AS1" s="61" t="s">
        <v>885</v>
      </c>
      <c r="AT1" s="61" t="s">
        <v>886</v>
      </c>
      <c r="AU1" s="61" t="s">
        <v>887</v>
      </c>
      <c r="AV1" s="177" t="s">
        <v>888</v>
      </c>
      <c r="AW1" s="246" t="s">
        <v>889</v>
      </c>
      <c r="AX1" s="246" t="s">
        <v>890</v>
      </c>
      <c r="AY1" s="246" t="s">
        <v>891</v>
      </c>
      <c r="AZ1" s="239" t="s">
        <v>892</v>
      </c>
      <c r="BA1" s="246" t="s">
        <v>893</v>
      </c>
      <c r="BB1" s="246" t="s">
        <v>894</v>
      </c>
      <c r="BC1" s="246" t="s">
        <v>895</v>
      </c>
      <c r="BD1" s="239" t="s">
        <v>896</v>
      </c>
      <c r="BE1" s="246" t="s">
        <v>897</v>
      </c>
      <c r="BF1" s="246" t="s">
        <v>898</v>
      </c>
      <c r="BG1" s="246" t="s">
        <v>899</v>
      </c>
      <c r="BH1" s="239" t="s">
        <v>900</v>
      </c>
      <c r="BI1" s="246" t="s">
        <v>901</v>
      </c>
      <c r="BJ1" s="246" t="s">
        <v>902</v>
      </c>
      <c r="BK1" s="246" t="s">
        <v>903</v>
      </c>
      <c r="BL1" s="246" t="s">
        <v>904</v>
      </c>
      <c r="BM1" s="245" t="s">
        <v>905</v>
      </c>
      <c r="BN1" s="246" t="s">
        <v>906</v>
      </c>
      <c r="BO1" s="246" t="s">
        <v>907</v>
      </c>
      <c r="BP1" s="239" t="s">
        <v>908</v>
      </c>
      <c r="BQ1" s="26"/>
      <c r="BR1" s="26"/>
      <c r="BS1" s="26"/>
      <c r="BT1" s="26"/>
      <c r="BU1" s="26"/>
      <c r="BV1" s="26"/>
    </row>
    <row r="2" spans="1:74">
      <c r="A2" s="9">
        <v>0</v>
      </c>
      <c r="B2" s="1" t="s">
        <v>567</v>
      </c>
      <c r="C2" s="1" t="s">
        <v>568</v>
      </c>
      <c r="D2" s="135" t="s">
        <v>573</v>
      </c>
      <c r="E2" s="1">
        <v>1.82</v>
      </c>
      <c r="F2" s="1">
        <v>1.78</v>
      </c>
      <c r="G2" s="1">
        <v>0.94</v>
      </c>
      <c r="H2" s="1">
        <v>4.1900000000000004</v>
      </c>
      <c r="I2" s="1">
        <v>8.31</v>
      </c>
      <c r="J2" s="1">
        <v>4.13</v>
      </c>
      <c r="K2" s="180">
        <f>AVERAGE(E2:J2)</f>
        <v>3.5283333333333329</v>
      </c>
      <c r="L2" s="135" t="s">
        <v>909</v>
      </c>
      <c r="M2" s="114">
        <v>0.20760000000000001</v>
      </c>
      <c r="N2" s="114">
        <v>0.12889999999999999</v>
      </c>
      <c r="O2" s="114">
        <v>3.61E-2</v>
      </c>
      <c r="P2" s="114">
        <v>0.31319999999999998</v>
      </c>
      <c r="Q2" s="114">
        <v>6.0199999999999997E-2</v>
      </c>
      <c r="R2" s="154">
        <v>0.25390000000000001</v>
      </c>
      <c r="S2" s="185">
        <f>E2*M2</f>
        <v>0.377832</v>
      </c>
      <c r="T2" s="140">
        <f t="shared" ref="T2" si="0">F2*N2</f>
        <v>0.22944199999999998</v>
      </c>
      <c r="U2" s="140">
        <f t="shared" ref="U2" si="1">G2*O2</f>
        <v>3.3933999999999999E-2</v>
      </c>
      <c r="V2" s="140">
        <f t="shared" ref="V2" si="2">H2*P2</f>
        <v>1.312308</v>
      </c>
      <c r="W2" s="140">
        <f t="shared" ref="W2" si="3">I2*Q2</f>
        <v>0.50026199999999998</v>
      </c>
      <c r="X2" s="186">
        <f t="shared" ref="X2" si="4">J2*R2</f>
        <v>1.0486070000000001</v>
      </c>
      <c r="Y2" s="78"/>
      <c r="Z2" s="118"/>
      <c r="AA2" s="118"/>
      <c r="AB2" s="178"/>
      <c r="AC2" s="247"/>
      <c r="AD2" s="234"/>
      <c r="AE2" s="234"/>
      <c r="AF2" s="235"/>
      <c r="AG2" s="247"/>
      <c r="AH2" s="234"/>
      <c r="AI2" s="234"/>
      <c r="AJ2" s="235"/>
      <c r="AK2" s="247"/>
      <c r="AL2" s="234"/>
      <c r="AM2" s="234"/>
      <c r="AN2" s="235"/>
      <c r="AO2" s="247"/>
      <c r="AP2" s="234"/>
      <c r="AQ2" s="234"/>
      <c r="AR2" s="235"/>
      <c r="AS2" s="118"/>
      <c r="AT2" s="118"/>
      <c r="AU2" s="118"/>
      <c r="AV2" s="178"/>
      <c r="AW2" s="234"/>
      <c r="AX2" s="234"/>
      <c r="AY2" s="234"/>
      <c r="AZ2" s="235"/>
      <c r="BA2" s="234"/>
      <c r="BB2" s="234"/>
      <c r="BC2" s="234"/>
      <c r="BD2" s="235"/>
      <c r="BE2" s="234"/>
      <c r="BF2" s="234"/>
      <c r="BG2" s="234"/>
      <c r="BH2" s="235"/>
      <c r="BI2" s="234"/>
      <c r="BJ2" s="234"/>
      <c r="BK2" s="234"/>
      <c r="BL2" s="234"/>
      <c r="BM2" s="247"/>
      <c r="BN2" s="234"/>
      <c r="BO2" s="234"/>
      <c r="BP2" s="235"/>
      <c r="BQ2" s="26"/>
      <c r="BR2" s="26"/>
      <c r="BS2" s="26"/>
      <c r="BT2" s="26"/>
      <c r="BU2" s="26"/>
      <c r="BV2" s="26"/>
    </row>
    <row r="3" spans="1:74">
      <c r="A3" s="9">
        <v>1</v>
      </c>
      <c r="B3" s="1" t="s">
        <v>304</v>
      </c>
      <c r="C3" s="1" t="s">
        <v>305</v>
      </c>
      <c r="D3" s="135"/>
      <c r="E3" s="1">
        <f t="shared" ref="E3:K3" si="5">E$2</f>
        <v>1.82</v>
      </c>
      <c r="F3" s="1">
        <f t="shared" si="5"/>
        <v>1.78</v>
      </c>
      <c r="G3" s="1">
        <f t="shared" si="5"/>
        <v>0.94</v>
      </c>
      <c r="H3" s="1">
        <f t="shared" si="5"/>
        <v>4.1900000000000004</v>
      </c>
      <c r="I3" s="1">
        <f t="shared" si="5"/>
        <v>8.31</v>
      </c>
      <c r="J3" s="1">
        <f t="shared" si="5"/>
        <v>4.13</v>
      </c>
      <c r="K3" s="180">
        <f t="shared" si="5"/>
        <v>3.5283333333333329</v>
      </c>
      <c r="L3" s="135"/>
      <c r="M3" s="114">
        <f>M$2</f>
        <v>0.20760000000000001</v>
      </c>
      <c r="N3" s="114">
        <f>N$2</f>
        <v>0.12889999999999999</v>
      </c>
      <c r="O3" s="114">
        <f t="shared" ref="O3:S18" si="6">O$2</f>
        <v>3.61E-2</v>
      </c>
      <c r="P3" s="114">
        <f t="shared" si="6"/>
        <v>0.31319999999999998</v>
      </c>
      <c r="Q3" s="114">
        <f t="shared" si="6"/>
        <v>6.0199999999999997E-2</v>
      </c>
      <c r="R3" s="154">
        <f t="shared" si="6"/>
        <v>0.25390000000000001</v>
      </c>
      <c r="S3" s="185">
        <f>S$2</f>
        <v>0.377832</v>
      </c>
      <c r="T3" s="140">
        <f t="shared" ref="T3:X18" si="7">T$2</f>
        <v>0.22944199999999998</v>
      </c>
      <c r="U3" s="140">
        <f t="shared" si="7"/>
        <v>3.3933999999999999E-2</v>
      </c>
      <c r="V3" s="140">
        <f t="shared" si="7"/>
        <v>1.312308</v>
      </c>
      <c r="W3" s="140">
        <f t="shared" si="7"/>
        <v>0.50026199999999998</v>
      </c>
      <c r="X3" s="186">
        <f t="shared" si="7"/>
        <v>1.0486070000000001</v>
      </c>
      <c r="Y3" s="78">
        <f>'Interventions cost'!D2/'National data'!$Q4</f>
        <v>7639007.2569848662</v>
      </c>
      <c r="Z3" s="118">
        <f>'Interventions cost'!E2/'National data'!$Q4</f>
        <v>17636748.365677115</v>
      </c>
      <c r="AA3" s="118">
        <f>'Interventions cost'!F2/'National data'!$Q4</f>
        <v>1091767.5598928959</v>
      </c>
      <c r="AB3" s="178">
        <f>'Interventions cost'!G2/'National data'!$Q4</f>
        <v>13148699.236406455</v>
      </c>
      <c r="AC3" s="247">
        <f>'Interventions cost'!H2/'National data'!$Q4</f>
        <v>1663959.2012091863</v>
      </c>
      <c r="AD3" s="234">
        <f>'Interventions cost'!I2/'National data'!$Q4</f>
        <v>3841707.2710129595</v>
      </c>
      <c r="AE3" s="234">
        <f>'Interventions cost'!J2/'National data'!$Q4</f>
        <v>237813.18903767137</v>
      </c>
      <c r="AF3" s="235">
        <f>'Interventions cost'!K2/'National data'!$Q4</f>
        <v>2864102.4078548104</v>
      </c>
      <c r="AG3" s="247">
        <f>'Interventions cost'!L2/'National data'!$Q4</f>
        <v>1357232.0085528367</v>
      </c>
      <c r="AH3" s="234">
        <f>'Interventions cost'!M2/'National data'!$Q4</f>
        <v>3133543.2214443223</v>
      </c>
      <c r="AI3" s="234">
        <f>'Interventions cost'!N2/'National data'!$Q4</f>
        <v>193975.7128560612</v>
      </c>
      <c r="AJ3" s="235">
        <f>'Interventions cost'!O2/'National data'!$Q4</f>
        <v>2336145.8988230983</v>
      </c>
      <c r="AK3" s="247">
        <f>'Interventions cost'!P2/'National data'!$Q4</f>
        <v>3962191.3849688345</v>
      </c>
      <c r="AL3" s="234">
        <f>'Interventions cost'!Q2/'National data'!$Q4</f>
        <v>9147808.0963272844</v>
      </c>
      <c r="AM3" s="234">
        <f>'Interventions cost'!R2/'National data'!$Q4</f>
        <v>566276.72610740212</v>
      </c>
      <c r="AN3" s="235">
        <f>'Interventions cost'!S2/'National data'!$Q4</f>
        <v>6819952.0023232708</v>
      </c>
      <c r="AO3" s="247">
        <f>'Interventions cost'!T2/'National data'!$Q4</f>
        <v>111536.71256259888</v>
      </c>
      <c r="AP3" s="234">
        <f>'Interventions cost'!U2/'National data'!$Q4</f>
        <v>257513.16458074035</v>
      </c>
      <c r="AQ3" s="234">
        <f>'Interventions cost'!V2/'National data'!$Q4</f>
        <v>15940.836343832407</v>
      </c>
      <c r="AR3" s="235">
        <f>'Interventions cost'!W2/'National data'!$Q4</f>
        <v>191983.41328477621</v>
      </c>
      <c r="AS3" s="118">
        <f>'Interventions cost'!AR2/'National data'!$Q4</f>
        <v>2618864.3153500236</v>
      </c>
      <c r="AT3" s="118">
        <f>'Interventions cost'!AS2/'National data'!$Q4</f>
        <v>6046368.2491526082</v>
      </c>
      <c r="AU3" s="118">
        <f>'Interventions cost'!AT2/'National data'!$Q4</f>
        <v>374288.3082937146</v>
      </c>
      <c r="AV3" s="178">
        <f>'Interventions cost'!AU2/'National data'!$Q4</f>
        <v>4507740.0852066232</v>
      </c>
      <c r="AW3" s="234">
        <f>'Interventions cost'!AV2/'National data'!$Q4</f>
        <v>1513765.2014074356</v>
      </c>
      <c r="AX3" s="234">
        <f>'Interventions cost'!AW2/'National data'!$Q4</f>
        <v>3494943.1311941445</v>
      </c>
      <c r="AY3" s="234">
        <f>'Interventions cost'!AX2/'National data'!$Q4</f>
        <v>216347.44994910379</v>
      </c>
      <c r="AZ3" s="235">
        <f>'Interventions cost'!AY2/'National data'!$Q4</f>
        <v>2605579.845423629</v>
      </c>
      <c r="BA3" s="234">
        <f>'Interventions cost'!AZ2/'National data'!$Q4</f>
        <v>712357.23651326238</v>
      </c>
      <c r="BB3" s="234">
        <f>'Interventions cost'!BA2/'National data'!$Q4</f>
        <v>1644672.5214674626</v>
      </c>
      <c r="BC3" s="234">
        <f>'Interventions cost'!BB2/'National data'!$Q4</f>
        <v>101810.15617821288</v>
      </c>
      <c r="BD3" s="235">
        <f>'Interventions cost'!BC2/'National data'!$Q4</f>
        <v>1226150.3015625556</v>
      </c>
      <c r="BE3" s="234">
        <f>'Interventions cost'!BD2/'National data'!$Q4</f>
        <v>607222.22878370213</v>
      </c>
      <c r="BF3" s="234">
        <f>'Interventions cost'!BE2/'National data'!$Q4</f>
        <v>1401939.4524480144</v>
      </c>
      <c r="BG3" s="234">
        <f>'Interventions cost'!BF2/'National data'!$Q4</f>
        <v>86784.2520277398</v>
      </c>
      <c r="BH3" s="235">
        <f>'Interventions cost'!BG2/'National data'!$Q4</f>
        <v>1045185.8713233719</v>
      </c>
      <c r="BI3" s="234">
        <f>'Interventions cost'!BH2/'National data'!$Q4</f>
        <v>29251.84240703646</v>
      </c>
      <c r="BJ3" s="234">
        <f>'Interventions cost'!BI2/'National data'!$Q4</f>
        <v>67535.920101871292</v>
      </c>
      <c r="BK3" s="234">
        <f>'Interventions cost'!BJ2/'National data'!$Q4</f>
        <v>4180.6757779815262</v>
      </c>
      <c r="BL3" s="234">
        <f>'Interventions cost'!BK2/'National data'!$Q4</f>
        <v>50349.955823015422</v>
      </c>
      <c r="BM3" s="247">
        <f>'Interventions cost'!CF2/'National data'!$Q4</f>
        <v>1665808.0447660866</v>
      </c>
      <c r="BN3" s="234">
        <f>'Interventions cost'!CG2/'National data'!$Q4</f>
        <v>3845975.8346474199</v>
      </c>
      <c r="BO3" s="234">
        <f>'Interventions cost'!CH2/'National data'!$Q4</f>
        <v>238077.42591438003</v>
      </c>
      <c r="BP3" s="235">
        <f>'Interventions cost'!CI2/'National data'!$Q4</f>
        <v>2867284.7438635393</v>
      </c>
      <c r="BQ3" s="26"/>
      <c r="BR3" s="26"/>
      <c r="BS3" s="26"/>
      <c r="BT3" s="26"/>
      <c r="BU3" s="26"/>
      <c r="BV3" s="26"/>
    </row>
    <row r="4" spans="1:74">
      <c r="A4" s="9">
        <v>2</v>
      </c>
      <c r="B4" s="1" t="s">
        <v>314</v>
      </c>
      <c r="C4" s="1" t="s">
        <v>315</v>
      </c>
      <c r="D4" s="135"/>
      <c r="E4" s="1">
        <f t="shared" ref="E4:J52" si="8">E$2</f>
        <v>1.82</v>
      </c>
      <c r="F4" s="1">
        <f t="shared" si="8"/>
        <v>1.78</v>
      </c>
      <c r="G4" s="1">
        <f t="shared" si="8"/>
        <v>0.94</v>
      </c>
      <c r="H4" s="1">
        <f t="shared" si="8"/>
        <v>4.1900000000000004</v>
      </c>
      <c r="I4" s="1">
        <f t="shared" si="8"/>
        <v>8.31</v>
      </c>
      <c r="J4" s="1">
        <f t="shared" si="8"/>
        <v>4.13</v>
      </c>
      <c r="K4" s="180">
        <f t="shared" ref="K4:K52" si="9">K$2</f>
        <v>3.5283333333333329</v>
      </c>
      <c r="L4" s="135"/>
      <c r="M4" s="114">
        <f t="shared" ref="M4:R52" si="10">M$2</f>
        <v>0.20760000000000001</v>
      </c>
      <c r="N4" s="114">
        <f t="shared" si="10"/>
        <v>0.12889999999999999</v>
      </c>
      <c r="O4" s="114">
        <f t="shared" si="6"/>
        <v>3.61E-2</v>
      </c>
      <c r="P4" s="114">
        <f t="shared" si="6"/>
        <v>0.31319999999999998</v>
      </c>
      <c r="Q4" s="114">
        <f t="shared" si="6"/>
        <v>6.0199999999999997E-2</v>
      </c>
      <c r="R4" s="154">
        <f t="shared" si="6"/>
        <v>0.25390000000000001</v>
      </c>
      <c r="S4" s="185">
        <f t="shared" si="6"/>
        <v>0.377832</v>
      </c>
      <c r="T4" s="140">
        <f t="shared" si="7"/>
        <v>0.22944199999999998</v>
      </c>
      <c r="U4" s="140">
        <f t="shared" si="7"/>
        <v>3.3933999999999999E-2</v>
      </c>
      <c r="V4" s="140">
        <f t="shared" si="7"/>
        <v>1.312308</v>
      </c>
      <c r="W4" s="140">
        <f t="shared" si="7"/>
        <v>0.50026199999999998</v>
      </c>
      <c r="X4" s="186">
        <f t="shared" si="7"/>
        <v>1.0486070000000001</v>
      </c>
      <c r="Y4" s="78">
        <f>'Interventions cost'!D3/'National data'!Q5</f>
        <v>961731.89401952666</v>
      </c>
      <c r="Z4" s="118">
        <f>'Interventions cost'!E3/'National data'!Q5</f>
        <v>2220422.4763052939</v>
      </c>
      <c r="AA4" s="118">
        <f>'Interventions cost'!F3/'National data'!Q5</f>
        <v>137450.80321069161</v>
      </c>
      <c r="AB4" s="178">
        <f>'Interventions cost'!G3/'National data'!$Q5</f>
        <v>1655388.3240468998</v>
      </c>
      <c r="AC4" s="247">
        <f>'Interventions cost'!H3/'National data'!$Q5</f>
        <v>294143.07419865869</v>
      </c>
      <c r="AD4" s="234">
        <f>'Interventions cost'!I3/'National data'!$Q5</f>
        <v>679110.152488066</v>
      </c>
      <c r="AE4" s="234">
        <f>'Interventions cost'!J3/'National data'!$Q5</f>
        <v>42038.95291284455</v>
      </c>
      <c r="AF4" s="235">
        <f>'Interventions cost'!K3/'National data'!$Q5</f>
        <v>506295.99959781952</v>
      </c>
      <c r="AG4" s="247">
        <f>'Interventions cost'!L3/'National data'!$Q5</f>
        <v>201485.63861060902</v>
      </c>
      <c r="AH4" s="234">
        <f>'Interventions cost'!M3/'National data'!$Q5</f>
        <v>465184.98908661382</v>
      </c>
      <c r="AI4" s="234">
        <f>'Interventions cost'!N3/'National data'!$Q5</f>
        <v>28796.344422664057</v>
      </c>
      <c r="AJ4" s="235">
        <f>'Interventions cost'!O3/'National data'!$Q5</f>
        <v>346808.68513690296</v>
      </c>
      <c r="AK4" s="247">
        <f>'Interventions cost'!P3/'National data'!$Q5</f>
        <v>586463.32048527291</v>
      </c>
      <c r="AL4" s="234">
        <f>'Interventions cost'!Q3/'National data'!$Q5</f>
        <v>1354011.8056100314</v>
      </c>
      <c r="AM4" s="234">
        <f>'Interventions cost'!R3/'National data'!$Q5</f>
        <v>83817.38710713209</v>
      </c>
      <c r="AN4" s="235">
        <f>'Interventions cost'!S3/'National data'!$Q5</f>
        <v>1009454.4428131282</v>
      </c>
      <c r="AO4" s="247">
        <f>'Interventions cost'!T3/'National data'!$Q5</f>
        <v>68985.120643233444</v>
      </c>
      <c r="AP4" s="234">
        <f>'Interventions cost'!U3/'National data'!$Q5</f>
        <v>159271.11636765348</v>
      </c>
      <c r="AQ4" s="234">
        <f>'Interventions cost'!V3/'National data'!$Q5</f>
        <v>9859.3592465452512</v>
      </c>
      <c r="AR4" s="235">
        <f>'Interventions cost'!W3/'National data'!$Q5</f>
        <v>118741.16264200423</v>
      </c>
      <c r="AS4" s="118">
        <f>'Interventions cost'!AR3/'National data'!$Q5</f>
        <v>250608.55028207242</v>
      </c>
      <c r="AT4" s="118">
        <f>'Interventions cost'!AS3/'National data'!$Q5</f>
        <v>578598.73553210951</v>
      </c>
      <c r="AU4" s="118">
        <f>'Interventions cost'!AT3/'National data'!$Q5</f>
        <v>35816.995091813449</v>
      </c>
      <c r="AV4" s="178">
        <f>'Interventions cost'!AU3/'National data'!$Q5</f>
        <v>431361.86979241431</v>
      </c>
      <c r="AW4" s="234">
        <f>'Interventions cost'!AV3/'National data'!$Q5</f>
        <v>206190.97369562316</v>
      </c>
      <c r="AX4" s="234">
        <f>'Interventions cost'!AW3/'National data'!$Q5</f>
        <v>476048.54871927493</v>
      </c>
      <c r="AY4" s="234">
        <f>'Interventions cost'!AX3/'National data'!$Q5</f>
        <v>29468.831308907964</v>
      </c>
      <c r="AZ4" s="235">
        <f>'Interventions cost'!AY3/'National data'!$Q5</f>
        <v>354907.77887487406</v>
      </c>
      <c r="BA4" s="234">
        <f>'Interventions cost'!AZ3/'National data'!$Q5</f>
        <v>38148.745518759126</v>
      </c>
      <c r="BB4" s="234">
        <f>'Interventions cost'!BA3/'National data'!$Q5</f>
        <v>88076.866868453653</v>
      </c>
      <c r="BC4" s="234">
        <f>'Interventions cost'!BB3/'National data'!$Q5</f>
        <v>5452.2219192693728</v>
      </c>
      <c r="BD4" s="235">
        <f>'Interventions cost'!BC3/'National data'!$Q5</f>
        <v>65663.817849331041</v>
      </c>
      <c r="BE4" s="234">
        <f>'Interventions cost'!BD3/'National data'!$Q5</f>
        <v>44086.1578768166</v>
      </c>
      <c r="BF4" s="234">
        <f>'Interventions cost'!BE3/'National data'!$Q5</f>
        <v>101785.01560814383</v>
      </c>
      <c r="BG4" s="234">
        <f>'Interventions cost'!BF3/'National data'!$Q5</f>
        <v>6300.7973930401486</v>
      </c>
      <c r="BH4" s="235">
        <f>'Interventions cost'!BG3/'National data'!$Q5</f>
        <v>75883.633947455106</v>
      </c>
      <c r="BI4" s="234">
        <f>'Interventions cost'!BH3/'National data'!$Q5</f>
        <v>12246.691224255366</v>
      </c>
      <c r="BJ4" s="234">
        <f>'Interventions cost'!BI3/'National data'!$Q5</f>
        <v>28274.853546819468</v>
      </c>
      <c r="BK4" s="234">
        <f>'Interventions cost'!BJ3/'National data'!$Q5</f>
        <v>1750.2981401727859</v>
      </c>
      <c r="BL4" s="234">
        <f>'Interventions cost'!BK3/'National data'!$Q5</f>
        <v>21079.71024659431</v>
      </c>
      <c r="BM4" s="247">
        <f>'Interventions cost'!CF3/'National data'!$Q5</f>
        <v>216179.36111175228</v>
      </c>
      <c r="BN4" s="234">
        <f>'Interventions cost'!CG3/'National data'!$Q5</f>
        <v>499109.4870730234</v>
      </c>
      <c r="BO4" s="234">
        <f>'Interventions cost'!CH3/'National data'!$Q5</f>
        <v>30896.372478816007</v>
      </c>
      <c r="BP4" s="235">
        <f>'Interventions cost'!CI3/'National data'!$Q5</f>
        <v>372100.36654669512</v>
      </c>
      <c r="BQ4" s="26"/>
      <c r="BR4" s="26"/>
      <c r="BS4" s="26"/>
      <c r="BT4" s="26"/>
      <c r="BU4" s="26"/>
      <c r="BV4" s="26"/>
    </row>
    <row r="5" spans="1:74">
      <c r="A5" s="9">
        <v>3</v>
      </c>
      <c r="B5" s="1" t="s">
        <v>321</v>
      </c>
      <c r="C5" s="1" t="s">
        <v>322</v>
      </c>
      <c r="D5" s="135"/>
      <c r="E5" s="1">
        <f t="shared" si="8"/>
        <v>1.82</v>
      </c>
      <c r="F5" s="1">
        <f t="shared" si="8"/>
        <v>1.78</v>
      </c>
      <c r="G5" s="1">
        <f t="shared" si="8"/>
        <v>0.94</v>
      </c>
      <c r="H5" s="1">
        <f t="shared" si="8"/>
        <v>4.1900000000000004</v>
      </c>
      <c r="I5" s="1">
        <f t="shared" si="8"/>
        <v>8.31</v>
      </c>
      <c r="J5" s="1">
        <f t="shared" si="8"/>
        <v>4.13</v>
      </c>
      <c r="K5" s="180">
        <f t="shared" si="9"/>
        <v>3.5283333333333329</v>
      </c>
      <c r="L5" s="135"/>
      <c r="M5" s="114">
        <f t="shared" si="10"/>
        <v>0.20760000000000001</v>
      </c>
      <c r="N5" s="114">
        <f t="shared" si="10"/>
        <v>0.12889999999999999</v>
      </c>
      <c r="O5" s="114">
        <f t="shared" si="6"/>
        <v>3.61E-2</v>
      </c>
      <c r="P5" s="114">
        <f t="shared" si="6"/>
        <v>0.31319999999999998</v>
      </c>
      <c r="Q5" s="114">
        <f t="shared" si="6"/>
        <v>6.0199999999999997E-2</v>
      </c>
      <c r="R5" s="154">
        <f t="shared" si="6"/>
        <v>0.25390000000000001</v>
      </c>
      <c r="S5" s="185">
        <f t="shared" si="6"/>
        <v>0.377832</v>
      </c>
      <c r="T5" s="140">
        <f t="shared" si="7"/>
        <v>0.22944199999999998</v>
      </c>
      <c r="U5" s="140">
        <f t="shared" si="7"/>
        <v>3.3933999999999999E-2</v>
      </c>
      <c r="V5" s="140">
        <f t="shared" si="7"/>
        <v>1.312308</v>
      </c>
      <c r="W5" s="140">
        <f t="shared" si="7"/>
        <v>0.50026199999999998</v>
      </c>
      <c r="X5" s="186">
        <f t="shared" si="7"/>
        <v>1.0486070000000001</v>
      </c>
      <c r="Y5" s="78">
        <f>'Interventions cost'!D4/'National data'!Q6</f>
        <v>13696320.018989217</v>
      </c>
      <c r="Z5" s="118">
        <f>'Interventions cost'!E4/'National data'!Q6</f>
        <v>31621720.150851458</v>
      </c>
      <c r="AA5" s="118">
        <f>'Interventions cost'!F4/'National data'!Q6</f>
        <v>1957479.2094838435</v>
      </c>
      <c r="AB5" s="178">
        <f>'Interventions cost'!G4/'National data'!$Q6</f>
        <v>23574894.81510761</v>
      </c>
      <c r="AC5" s="247">
        <f>'Interventions cost'!H4/'National data'!$Q6</f>
        <v>4520105.8397851242</v>
      </c>
      <c r="AD5" s="234">
        <f>'Interventions cost'!I4/'National data'!$Q6</f>
        <v>10435906.996897336</v>
      </c>
      <c r="AE5" s="234">
        <f>'Interventions cost'!J4/'National data'!$Q6</f>
        <v>646013.90693110204</v>
      </c>
      <c r="AF5" s="235">
        <f>'Interventions cost'!K4/'National data'!$Q6</f>
        <v>7780266.4933607569</v>
      </c>
      <c r="AG5" s="247">
        <f>'Interventions cost'!L4/'National data'!$Q6</f>
        <v>4187324.0972405495</v>
      </c>
      <c r="AH5" s="234">
        <f>'Interventions cost'!M4/'National data'!$Q6</f>
        <v>9667588.8560049273</v>
      </c>
      <c r="AI5" s="234">
        <f>'Interventions cost'!N4/'National data'!$Q6</f>
        <v>598452.71228730993</v>
      </c>
      <c r="AJ5" s="235">
        <f>'Interventions cost'!O4/'National data'!$Q6</f>
        <v>7207463.392527869</v>
      </c>
      <c r="AK5" s="247">
        <f>'Interventions cost'!P4/'National data'!$Q6</f>
        <v>8544449.7375854254</v>
      </c>
      <c r="AL5" s="234">
        <f>'Interventions cost'!Q4/'National data'!$Q6</f>
        <v>19727211.256040905</v>
      </c>
      <c r="AM5" s="234">
        <f>'Interventions cost'!R4/'National data'!$Q6</f>
        <v>1221173.4754017151</v>
      </c>
      <c r="AN5" s="235">
        <f>'Interventions cost'!S4/'National data'!$Q6</f>
        <v>14707198.980256887</v>
      </c>
      <c r="AO5" s="247">
        <f>'Interventions cost'!T4/'National data'!$Q6</f>
        <v>248441.23870061495</v>
      </c>
      <c r="AP5" s="234">
        <f>'Interventions cost'!U4/'National data'!$Q6</f>
        <v>573594.90090985107</v>
      </c>
      <c r="AQ5" s="234">
        <f>'Interventions cost'!V4/'National data'!$Q6</f>
        <v>35507.242738240035</v>
      </c>
      <c r="AR5" s="235">
        <f>'Interventions cost'!W4/'National data'!$Q6</f>
        <v>427631.3682786072</v>
      </c>
      <c r="AS5" s="118">
        <f>'Interventions cost'!AR4/'National data'!$Q6</f>
        <v>3582064.6205171463</v>
      </c>
      <c r="AT5" s="118">
        <f>'Interventions cost'!AS4/'National data'!$Q6</f>
        <v>8270180.956287154</v>
      </c>
      <c r="AU5" s="118">
        <f>'Interventions cost'!AT4/'National data'!$Q6</f>
        <v>511948.97694916854</v>
      </c>
      <c r="AV5" s="178">
        <f>'Interventions cost'!AU4/'National data'!$Q6</f>
        <v>6165655.9230894949</v>
      </c>
      <c r="AW5" s="234">
        <f>'Interventions cost'!AV4/'National data'!$Q6</f>
        <v>2678355.3441214138</v>
      </c>
      <c r="AX5" s="234">
        <f>'Interventions cost'!AW4/'National data'!$Q6</f>
        <v>6183719.6443220358</v>
      </c>
      <c r="AY5" s="234">
        <f>'Interventions cost'!AX4/'National data'!$Q6</f>
        <v>382790.77113112976</v>
      </c>
      <c r="AZ5" s="235">
        <f>'Interventions cost'!AY4/'National data'!$Q6</f>
        <v>4610139.4701350983</v>
      </c>
      <c r="BA5" s="234">
        <f>'Interventions cost'!AZ4/'National data'!$Q6</f>
        <v>1089738.9492568171</v>
      </c>
      <c r="BB5" s="234">
        <f>'Interventions cost'!BA4/'National data'!$Q6</f>
        <v>2515961.9549708129</v>
      </c>
      <c r="BC5" s="234">
        <f>'Interventions cost'!BB4/'National data'!$Q6</f>
        <v>155745.58231535926</v>
      </c>
      <c r="BD5" s="235">
        <f>'Interventions cost'!BC4/'National data'!$Q6</f>
        <v>1875721.4397032836</v>
      </c>
      <c r="BE5" s="234">
        <f>'Interventions cost'!BD4/'National data'!$Q6</f>
        <v>848911.08003464167</v>
      </c>
      <c r="BF5" s="234">
        <f>'Interventions cost'!BE4/'National data'!$Q6</f>
        <v>1959944.6105665376</v>
      </c>
      <c r="BG5" s="234">
        <f>'Interventions cost'!BF4/'National data'!$Q6</f>
        <v>121326.44298354532</v>
      </c>
      <c r="BH5" s="235">
        <f>'Interventions cost'!BG4/'National data'!$Q6</f>
        <v>1461194.6414401194</v>
      </c>
      <c r="BI5" s="234">
        <f>'Interventions cost'!BH4/'National data'!$Q6</f>
        <v>50402.139428954477</v>
      </c>
      <c r="BJ5" s="234">
        <f>'Interventions cost'!BI4/'National data'!$Q6</f>
        <v>116367.19540846536</v>
      </c>
      <c r="BK5" s="234">
        <f>'Interventions cost'!BJ4/'National data'!$Q6</f>
        <v>7203.4780078806452</v>
      </c>
      <c r="BL5" s="234">
        <f>'Interventions cost'!BK4/'National data'!$Q6</f>
        <v>86755.065144986307</v>
      </c>
      <c r="BM5" s="247">
        <f>'Interventions cost'!CF4/'National data'!$Q6</f>
        <v>3769208.507143612</v>
      </c>
      <c r="BN5" s="234">
        <f>'Interventions cost'!CG4/'National data'!$Q6</f>
        <v>8702254.0680894479</v>
      </c>
      <c r="BO5" s="234">
        <f>'Interventions cost'!CH4/'National data'!$Q6</f>
        <v>538695.59697158402</v>
      </c>
      <c r="BP5" s="235">
        <f>'Interventions cost'!CI4/'National data'!$Q6</f>
        <v>6487778.7587411506</v>
      </c>
      <c r="BQ5" s="26"/>
      <c r="BR5" s="26"/>
      <c r="BS5" s="26"/>
      <c r="BT5" s="26"/>
      <c r="BU5" s="26"/>
      <c r="BV5" s="26"/>
    </row>
    <row r="6" spans="1:74">
      <c r="A6" s="9">
        <v>4</v>
      </c>
      <c r="B6" s="1" t="s">
        <v>327</v>
      </c>
      <c r="C6" s="1" t="s">
        <v>328</v>
      </c>
      <c r="D6" s="135"/>
      <c r="E6" s="1">
        <f t="shared" si="8"/>
        <v>1.82</v>
      </c>
      <c r="F6" s="1">
        <f t="shared" si="8"/>
        <v>1.78</v>
      </c>
      <c r="G6" s="1">
        <f t="shared" si="8"/>
        <v>0.94</v>
      </c>
      <c r="H6" s="1">
        <f t="shared" si="8"/>
        <v>4.1900000000000004</v>
      </c>
      <c r="I6" s="1">
        <f t="shared" si="8"/>
        <v>8.31</v>
      </c>
      <c r="J6" s="1">
        <f t="shared" si="8"/>
        <v>4.13</v>
      </c>
      <c r="K6" s="180">
        <f t="shared" si="9"/>
        <v>3.5283333333333329</v>
      </c>
      <c r="L6" s="135"/>
      <c r="M6" s="114">
        <f t="shared" si="10"/>
        <v>0.20760000000000001</v>
      </c>
      <c r="N6" s="114">
        <f t="shared" si="10"/>
        <v>0.12889999999999999</v>
      </c>
      <c r="O6" s="114">
        <f t="shared" si="6"/>
        <v>3.61E-2</v>
      </c>
      <c r="P6" s="114">
        <f t="shared" si="6"/>
        <v>0.31319999999999998</v>
      </c>
      <c r="Q6" s="114">
        <f t="shared" si="6"/>
        <v>6.0199999999999997E-2</v>
      </c>
      <c r="R6" s="154">
        <f t="shared" si="6"/>
        <v>0.25390000000000001</v>
      </c>
      <c r="S6" s="185">
        <f t="shared" si="6"/>
        <v>0.377832</v>
      </c>
      <c r="T6" s="140">
        <f t="shared" si="7"/>
        <v>0.22944199999999998</v>
      </c>
      <c r="U6" s="140">
        <f t="shared" si="7"/>
        <v>3.3933999999999999E-2</v>
      </c>
      <c r="V6" s="140">
        <f t="shared" si="7"/>
        <v>1.312308</v>
      </c>
      <c r="W6" s="140">
        <f t="shared" si="7"/>
        <v>0.50026199999999998</v>
      </c>
      <c r="X6" s="186">
        <f t="shared" si="7"/>
        <v>1.0486070000000001</v>
      </c>
      <c r="Y6" s="78">
        <f>'Interventions cost'!D5/'National data'!Q7</f>
        <v>4558670.2637587916</v>
      </c>
      <c r="Z6" s="118">
        <f>'Interventions cost'!E5/'National data'!Q7</f>
        <v>10524943.571757102</v>
      </c>
      <c r="AA6" s="118">
        <f>'Interventions cost'!F5/'National data'!Q7</f>
        <v>651525.53765012068</v>
      </c>
      <c r="AB6" s="178">
        <f>'Interventions cost'!G5/'National data'!$Q7</f>
        <v>7846645.8009064253</v>
      </c>
      <c r="AC6" s="247">
        <f>'Interventions cost'!H5/'National data'!$Q7</f>
        <v>1082406.3469058271</v>
      </c>
      <c r="AD6" s="234">
        <f>'Interventions cost'!I5/'National data'!$Q7</f>
        <v>2499032.6265673419</v>
      </c>
      <c r="AE6" s="234">
        <f>'Interventions cost'!J5/'National data'!$Q7</f>
        <v>154697.60617041119</v>
      </c>
      <c r="AF6" s="235">
        <f>'Interventions cost'!K5/'National data'!$Q7</f>
        <v>1863100.1422375452</v>
      </c>
      <c r="AG6" s="247">
        <f>'Interventions cost'!L5/'National data'!$Q7</f>
        <v>888990.53593350574</v>
      </c>
      <c r="AH6" s="234">
        <f>'Interventions cost'!M5/'National data'!$Q7</f>
        <v>2052479.0531376167</v>
      </c>
      <c r="AI6" s="234">
        <f>'Interventions cost'!N5/'National data'!$Q7</f>
        <v>127054.60219278386</v>
      </c>
      <c r="AJ6" s="235">
        <f>'Interventions cost'!O5/'National data'!$Q7</f>
        <v>1530181.709189154</v>
      </c>
      <c r="AK6" s="247">
        <f>'Interventions cost'!P5/'National data'!$Q7</f>
        <v>1676465.9323076005</v>
      </c>
      <c r="AL6" s="234">
        <f>'Interventions cost'!Q5/'National data'!$Q7</f>
        <v>3870582.498099335</v>
      </c>
      <c r="AM6" s="234">
        <f>'Interventions cost'!R5/'National data'!$Q7</f>
        <v>239600.65209853789</v>
      </c>
      <c r="AN6" s="235">
        <f>'Interventions cost'!S5/'National data'!$Q7</f>
        <v>2885629.7137090224</v>
      </c>
      <c r="AO6" s="247">
        <f>'Interventions cost'!T5/'National data'!$Q7</f>
        <v>81499.582862459196</v>
      </c>
      <c r="AP6" s="234">
        <f>'Interventions cost'!U5/'National data'!$Q7</f>
        <v>188164.19287186067</v>
      </c>
      <c r="AQ6" s="234">
        <f>'Interventions cost'!V5/'National data'!$Q7</f>
        <v>11647.927239848699</v>
      </c>
      <c r="AR6" s="235">
        <f>'Interventions cost'!W5/'National data'!$Q7</f>
        <v>140281.77574660795</v>
      </c>
      <c r="AS6" s="118">
        <f>'Interventions cost'!AR5/'National data'!$Q7</f>
        <v>1775060.6796936339</v>
      </c>
      <c r="AT6" s="118">
        <f>'Interventions cost'!AS5/'National data'!$Q7</f>
        <v>4098215.578069902</v>
      </c>
      <c r="AU6" s="118">
        <f>'Interventions cost'!AT5/'National data'!$Q7</f>
        <v>253691.821690435</v>
      </c>
      <c r="AV6" s="178">
        <f>'Interventions cost'!AU5/'National data'!$Q7</f>
        <v>3055336.6711782715</v>
      </c>
      <c r="AW6" s="234">
        <f>'Interventions cost'!AV5/'National data'!$Q7</f>
        <v>1238782.5313874662</v>
      </c>
      <c r="AX6" s="234">
        <f>'Interventions cost'!AW5/'National data'!$Q7</f>
        <v>2860070.0393235059</v>
      </c>
      <c r="AY6" s="234">
        <f>'Interventions cost'!AX5/'National data'!$Q7</f>
        <v>177046.9036135801</v>
      </c>
      <c r="AZ6" s="235">
        <f>'Interventions cost'!AY5/'National data'!$Q7</f>
        <v>2132263.8369841119</v>
      </c>
      <c r="BA6" s="234">
        <f>'Interventions cost'!AZ5/'National data'!$Q7</f>
        <v>446099.08074317686</v>
      </c>
      <c r="BB6" s="234">
        <f>'Interventions cost'!BA5/'National data'!$Q7</f>
        <v>1029942.3692827724</v>
      </c>
      <c r="BC6" s="234">
        <f>'Interventions cost'!BB5/'National data'!$Q7</f>
        <v>63756.518153338744</v>
      </c>
      <c r="BD6" s="235">
        <f>'Interventions cost'!BC5/'National data'!$Q7</f>
        <v>767851.42951213836</v>
      </c>
      <c r="BE6" s="234">
        <f>'Interventions cost'!BD5/'National data'!$Q7</f>
        <v>354058.01119008329</v>
      </c>
      <c r="BF6" s="234">
        <f>'Interventions cost'!BE5/'National data'!$Q7</f>
        <v>817440.25632412906</v>
      </c>
      <c r="BG6" s="234">
        <f>'Interventions cost'!BF5/'National data'!$Q7</f>
        <v>50602.000748733481</v>
      </c>
      <c r="BH6" s="235">
        <f>'Interventions cost'!BG5/'National data'!$Q7</f>
        <v>609425.03976833925</v>
      </c>
      <c r="BI6" s="234">
        <f>'Interventions cost'!BH5/'National data'!$Q7</f>
        <v>22509.483538462995</v>
      </c>
      <c r="BJ6" s="234">
        <f>'Interventions cost'!BI5/'National data'!$Q7</f>
        <v>51969.33104707086</v>
      </c>
      <c r="BK6" s="234">
        <f>'Interventions cost'!BJ5/'National data'!$Q7</f>
        <v>3217.0572812018645</v>
      </c>
      <c r="BL6" s="234">
        <f>'Interventions cost'!BK5/'National data'!$Q7</f>
        <v>38744.61943251409</v>
      </c>
      <c r="BM6" s="247">
        <f>'Interventions cost'!CF5/'National data'!$Q7</f>
        <v>1639305.8952906064</v>
      </c>
      <c r="BN6" s="234">
        <f>'Interventions cost'!CG5/'National data'!$Q7</f>
        <v>3784788.3366225665</v>
      </c>
      <c r="BO6" s="234">
        <f>'Interventions cost'!CH5/'National data'!$Q7</f>
        <v>234289.73648152803</v>
      </c>
      <c r="BP6" s="235">
        <f>'Interventions cost'!CI5/'National data'!$Q7</f>
        <v>2821667.7178746266</v>
      </c>
      <c r="BQ6" s="26"/>
      <c r="BR6" s="26"/>
      <c r="BS6" s="26"/>
      <c r="BT6" s="26"/>
      <c r="BU6" s="26"/>
      <c r="BV6" s="26"/>
    </row>
    <row r="7" spans="1:74" ht="15.4" customHeight="1">
      <c r="A7" s="9">
        <v>5</v>
      </c>
      <c r="B7" s="1" t="s">
        <v>332</v>
      </c>
      <c r="C7" s="1" t="s">
        <v>333</v>
      </c>
      <c r="D7" s="135"/>
      <c r="E7" s="1">
        <f t="shared" si="8"/>
        <v>1.82</v>
      </c>
      <c r="F7" s="1">
        <f t="shared" si="8"/>
        <v>1.78</v>
      </c>
      <c r="G7" s="1">
        <f t="shared" si="8"/>
        <v>0.94</v>
      </c>
      <c r="H7" s="1">
        <f t="shared" si="8"/>
        <v>4.1900000000000004</v>
      </c>
      <c r="I7" s="1">
        <f t="shared" si="8"/>
        <v>8.31</v>
      </c>
      <c r="J7" s="1">
        <f t="shared" si="8"/>
        <v>4.13</v>
      </c>
      <c r="K7" s="180">
        <f t="shared" si="9"/>
        <v>3.5283333333333329</v>
      </c>
      <c r="L7" s="135"/>
      <c r="M7" s="114">
        <f t="shared" si="10"/>
        <v>0.20760000000000001</v>
      </c>
      <c r="N7" s="114">
        <f t="shared" si="10"/>
        <v>0.12889999999999999</v>
      </c>
      <c r="O7" s="114">
        <f t="shared" si="6"/>
        <v>3.61E-2</v>
      </c>
      <c r="P7" s="114">
        <f t="shared" si="6"/>
        <v>0.31319999999999998</v>
      </c>
      <c r="Q7" s="114">
        <f t="shared" si="6"/>
        <v>6.0199999999999997E-2</v>
      </c>
      <c r="R7" s="154">
        <f t="shared" si="6"/>
        <v>0.25390000000000001</v>
      </c>
      <c r="S7" s="185">
        <f t="shared" si="6"/>
        <v>0.377832</v>
      </c>
      <c r="T7" s="140">
        <f t="shared" si="7"/>
        <v>0.22944199999999998</v>
      </c>
      <c r="U7" s="140">
        <f t="shared" si="7"/>
        <v>3.3933999999999999E-2</v>
      </c>
      <c r="V7" s="140">
        <f t="shared" si="7"/>
        <v>1.312308</v>
      </c>
      <c r="W7" s="140">
        <f t="shared" si="7"/>
        <v>0.50026199999999998</v>
      </c>
      <c r="X7" s="186">
        <f t="shared" si="7"/>
        <v>1.0486070000000001</v>
      </c>
      <c r="Y7" s="78">
        <f>'Interventions cost'!D6/'National data'!Q8</f>
        <v>114578421.43863364</v>
      </c>
      <c r="Z7" s="118">
        <f>'Interventions cost'!E6/'National data'!Q8</f>
        <v>264535785.74649706</v>
      </c>
      <c r="AA7" s="118">
        <f>'Interventions cost'!F6/'National data'!Q8</f>
        <v>16375557.632316139</v>
      </c>
      <c r="AB7" s="178">
        <f>'Interventions cost'!G6/'National data'!$Q8</f>
        <v>197218977.78029606</v>
      </c>
      <c r="AC7" s="247">
        <f>'Interventions cost'!H6/'National data'!$Q8</f>
        <v>37464907.492219158</v>
      </c>
      <c r="AD7" s="234">
        <f>'Interventions cost'!I6/'National data'!$Q8</f>
        <v>86498038.783699706</v>
      </c>
      <c r="AE7" s="234">
        <f>'Interventions cost'!J6/'National data'!$Q8</f>
        <v>5354487.7309800694</v>
      </c>
      <c r="AF7" s="235">
        <f>'Interventions cost'!K6/'National data'!$Q8</f>
        <v>64486756.454452768</v>
      </c>
      <c r="AG7" s="247">
        <f>'Interventions cost'!L6/'National data'!$Q8</f>
        <v>13246633.84100767</v>
      </c>
      <c r="AH7" s="234">
        <f>'Interventions cost'!M6/'National data'!$Q8</f>
        <v>30583495.981430519</v>
      </c>
      <c r="AI7" s="234">
        <f>'Interventions cost'!N6/'National data'!$Q8</f>
        <v>1893210.0230913886</v>
      </c>
      <c r="AJ7" s="235">
        <f>'Interventions cost'!O6/'National data'!$Q8</f>
        <v>22800869.067240696</v>
      </c>
      <c r="AK7" s="247">
        <f>'Interventions cost'!P6/'National data'!$Q8</f>
        <v>65217074.918055356</v>
      </c>
      <c r="AL7" s="234">
        <f>'Interventions cost'!Q6/'National data'!$Q8</f>
        <v>150571546.90140301</v>
      </c>
      <c r="AM7" s="234">
        <f>'Interventions cost'!R6/'National data'!$Q8</f>
        <v>9320829.8344700094</v>
      </c>
      <c r="AN7" s="235">
        <f>'Interventions cost'!S6/'National data'!$Q8</f>
        <v>112255385.33054905</v>
      </c>
      <c r="AO7" s="247">
        <f>'Interventions cost'!T6/'National data'!$Q8</f>
        <v>676755.8044550356</v>
      </c>
      <c r="AP7" s="234">
        <f>'Interventions cost'!U6/'National data'!$Q8</f>
        <v>1562476.8280290817</v>
      </c>
      <c r="AQ7" s="234">
        <f>'Interventions cost'!V6/'National data'!$Q8</f>
        <v>96721.996513046601</v>
      </c>
      <c r="AR7" s="235">
        <f>'Interventions cost'!W6/'National data'!$Q8</f>
        <v>1164871.0663463625</v>
      </c>
      <c r="AS7" s="118">
        <f>'Interventions cost'!AR6/'National data'!$Q8</f>
        <v>28274858.871173654</v>
      </c>
      <c r="AT7" s="118">
        <f>'Interventions cost'!AS6/'National data'!$Q8</f>
        <v>65280285.017395295</v>
      </c>
      <c r="AU7" s="118">
        <f>'Interventions cost'!AT6/'National data'!$Q8</f>
        <v>4041045.2088353629</v>
      </c>
      <c r="AV7" s="178">
        <f>'Interventions cost'!AU6/'National data'!$Q8</f>
        <v>48668315.494655363</v>
      </c>
      <c r="AW7" s="234">
        <f>'Interventions cost'!AV6/'National data'!$Q8</f>
        <v>30267054.278037395</v>
      </c>
      <c r="AX7" s="234">
        <f>'Interventions cost'!AW6/'National data'!$Q8</f>
        <v>69879815.807732791</v>
      </c>
      <c r="AY7" s="234">
        <f>'Interventions cost'!AX6/'National data'!$Q8</f>
        <v>4325769.9440020556</v>
      </c>
      <c r="AZ7" s="235">
        <f>'Interventions cost'!AY6/'National data'!$Q8</f>
        <v>52097396.963461399</v>
      </c>
      <c r="BA7" s="234">
        <f>'Interventions cost'!AZ6/'National data'!$Q8</f>
        <v>4214045.6093319105</v>
      </c>
      <c r="BB7" s="234">
        <f>'Interventions cost'!BA6/'National data'!$Q8</f>
        <v>9729282.8129356261</v>
      </c>
      <c r="BC7" s="234">
        <f>'Interventions cost'!BB6/'National data'!$Q8</f>
        <v>602271.75304368034</v>
      </c>
      <c r="BD7" s="235">
        <f>'Interventions cost'!BC6/'National data'!$Q8</f>
        <v>7253457.9980847677</v>
      </c>
      <c r="BE7" s="234">
        <f>'Interventions cost'!BD6/'National data'!$Q8</f>
        <v>10537040.669154523</v>
      </c>
      <c r="BF7" s="234">
        <f>'Interventions cost'!BE6/'National data'!$Q8</f>
        <v>24327655.223898221</v>
      </c>
      <c r="BG7" s="234">
        <f>'Interventions cost'!BF6/'National data'!$Q8</f>
        <v>1505954.738992576</v>
      </c>
      <c r="BH7" s="235">
        <f>'Interventions cost'!BG6/'National data'!$Q8</f>
        <v>18136961.24896485</v>
      </c>
      <c r="BI7" s="234">
        <f>'Interventions cost'!BH6/'National data'!$Q8</f>
        <v>213149.99259567735</v>
      </c>
      <c r="BJ7" s="234">
        <f>'Interventions cost'!BI6/'National data'!$Q8</f>
        <v>492115.35702084098</v>
      </c>
      <c r="BK7" s="234">
        <f>'Interventions cost'!BJ6/'National data'!$Q8</f>
        <v>30463.414875616021</v>
      </c>
      <c r="BL7" s="234">
        <f>'Interventions cost'!BK6/'National data'!$Q8</f>
        <v>366886.0429894441</v>
      </c>
      <c r="BM7" s="247">
        <f>'Interventions cost'!CF6/'National data'!$Q8</f>
        <v>31561429.789584868</v>
      </c>
      <c r="BN7" s="234">
        <f>'Interventions cost'!CG6/'National data'!$Q8</f>
        <v>72868237.525356308</v>
      </c>
      <c r="BO7" s="234">
        <f>'Interventions cost'!CH6/'National data'!$Q8</f>
        <v>4510762.2010175399</v>
      </c>
      <c r="BP7" s="235">
        <f>'Interventions cost'!CI6/'National data'!$Q8</f>
        <v>54325350.63960766</v>
      </c>
      <c r="BQ7" s="26"/>
      <c r="BR7" s="26"/>
      <c r="BS7" s="26"/>
      <c r="BT7" s="26"/>
      <c r="BU7" s="26"/>
      <c r="BV7" s="26"/>
    </row>
    <row r="8" spans="1:74">
      <c r="A8" s="9">
        <v>6</v>
      </c>
      <c r="B8" s="1" t="s">
        <v>337</v>
      </c>
      <c r="C8" s="1" t="s">
        <v>338</v>
      </c>
      <c r="D8" s="135"/>
      <c r="E8" s="1">
        <f t="shared" si="8"/>
        <v>1.82</v>
      </c>
      <c r="F8" s="1">
        <f t="shared" si="8"/>
        <v>1.78</v>
      </c>
      <c r="G8" s="1">
        <f t="shared" si="8"/>
        <v>0.94</v>
      </c>
      <c r="H8" s="1">
        <f t="shared" si="8"/>
        <v>4.1900000000000004</v>
      </c>
      <c r="I8" s="1">
        <f t="shared" si="8"/>
        <v>8.31</v>
      </c>
      <c r="J8" s="1">
        <f t="shared" si="8"/>
        <v>4.13</v>
      </c>
      <c r="K8" s="180">
        <f t="shared" si="9"/>
        <v>3.5283333333333329</v>
      </c>
      <c r="L8" s="135"/>
      <c r="M8" s="114">
        <f t="shared" si="10"/>
        <v>0.20760000000000001</v>
      </c>
      <c r="N8" s="114">
        <f t="shared" si="10"/>
        <v>0.12889999999999999</v>
      </c>
      <c r="O8" s="114">
        <f t="shared" si="6"/>
        <v>3.61E-2</v>
      </c>
      <c r="P8" s="114">
        <f t="shared" si="6"/>
        <v>0.31319999999999998</v>
      </c>
      <c r="Q8" s="114">
        <f t="shared" si="6"/>
        <v>6.0199999999999997E-2</v>
      </c>
      <c r="R8" s="154">
        <f t="shared" si="6"/>
        <v>0.25390000000000001</v>
      </c>
      <c r="S8" s="185">
        <f t="shared" si="6"/>
        <v>0.377832</v>
      </c>
      <c r="T8" s="140">
        <f t="shared" si="7"/>
        <v>0.22944199999999998</v>
      </c>
      <c r="U8" s="140">
        <f t="shared" si="7"/>
        <v>3.3933999999999999E-2</v>
      </c>
      <c r="V8" s="140">
        <f t="shared" si="7"/>
        <v>1.312308</v>
      </c>
      <c r="W8" s="140">
        <f t="shared" si="7"/>
        <v>0.50026199999999998</v>
      </c>
      <c r="X8" s="186">
        <f t="shared" si="7"/>
        <v>1.0486070000000001</v>
      </c>
      <c r="Y8" s="78">
        <f>'Interventions cost'!D7/'National data'!Q9</f>
        <v>11523755.3174078</v>
      </c>
      <c r="Z8" s="118">
        <f>'Interventions cost'!E7/'National data'!Q9</f>
        <v>26605757.256601281</v>
      </c>
      <c r="AA8" s="118">
        <f>'Interventions cost'!F7/'National data'!Q9</f>
        <v>1646976.0795403344</v>
      </c>
      <c r="AB8" s="178">
        <f>'Interventions cost'!G7/'National data'!$Q9</f>
        <v>19835351.3284056</v>
      </c>
      <c r="AC8" s="247">
        <f>'Interventions cost'!H7/'National data'!$Q9</f>
        <v>2482023.8977645137</v>
      </c>
      <c r="AD8" s="234">
        <f>'Interventions cost'!I7/'National data'!$Q9</f>
        <v>5730434.5250416538</v>
      </c>
      <c r="AE8" s="234">
        <f>'Interventions cost'!J7/'National data'!$Q9</f>
        <v>354731.06429902505</v>
      </c>
      <c r="AF8" s="235">
        <f>'Interventions cost'!K7/'National data'!$Q9</f>
        <v>4272202.4775455035</v>
      </c>
      <c r="AG8" s="247">
        <f>'Interventions cost'!L7/'National data'!$Q9</f>
        <v>1477639.1445866402</v>
      </c>
      <c r="AH8" s="234">
        <f>'Interventions cost'!M7/'National data'!$Q9</f>
        <v>3411536.1972617363</v>
      </c>
      <c r="AI8" s="234">
        <f>'Interventions cost'!N7/'National data'!$Q9</f>
        <v>211184.31086873071</v>
      </c>
      <c r="AJ8" s="235">
        <f>'Interventions cost'!O7/'National data'!$Q9</f>
        <v>2543397.5958519145</v>
      </c>
      <c r="AK8" s="247">
        <f>'Interventions cost'!P7/'National data'!$Q9</f>
        <v>6877731.6273281286</v>
      </c>
      <c r="AL8" s="234">
        <f>'Interventions cost'!Q7/'National data'!$Q9</f>
        <v>15879134.285012169</v>
      </c>
      <c r="AM8" s="234">
        <f>'Interventions cost'!R7/'National data'!$Q9</f>
        <v>982965.98285076115</v>
      </c>
      <c r="AN8" s="235">
        <f>'Interventions cost'!S7/'National data'!$Q9</f>
        <v>11838347.779257391</v>
      </c>
      <c r="AO8" s="247">
        <f>'Interventions cost'!T7/'National data'!$Q9</f>
        <v>308449.69035747444</v>
      </c>
      <c r="AP8" s="234">
        <f>'Interventions cost'!U7/'National data'!$Q9</f>
        <v>712140.90906008624</v>
      </c>
      <c r="AQ8" s="234">
        <f>'Interventions cost'!V7/'National data'!$Q9</f>
        <v>44083.655697980998</v>
      </c>
      <c r="AR8" s="235">
        <f>'Interventions cost'!W7/'National data'!$Q9</f>
        <v>530921.37127697002</v>
      </c>
      <c r="AS8" s="118">
        <f>'Interventions cost'!AR7/'National data'!$Q9</f>
        <v>2201103.6602019225</v>
      </c>
      <c r="AT8" s="118">
        <f>'Interventions cost'!AS7/'National data'!$Q9</f>
        <v>5081852.9261450972</v>
      </c>
      <c r="AU8" s="118">
        <f>'Interventions cost'!AT7/'National data'!$Q9</f>
        <v>314581.92031073949</v>
      </c>
      <c r="AV8" s="178">
        <f>'Interventions cost'!AU7/'National data'!$Q9</f>
        <v>3788666.3858952527</v>
      </c>
      <c r="AW8" s="234">
        <f>'Interventions cost'!AV7/'National data'!$Q9</f>
        <v>1841151.0094730072</v>
      </c>
      <c r="AX8" s="234">
        <f>'Interventions cost'!AW7/'National data'!$Q9</f>
        <v>4250803.2738935472</v>
      </c>
      <c r="AY8" s="234">
        <f>'Interventions cost'!AX7/'National data'!$Q9</f>
        <v>263137.45718315779</v>
      </c>
      <c r="AZ8" s="235">
        <f>'Interventions cost'!AY7/'National data'!$Q9</f>
        <v>3169095.1530686133</v>
      </c>
      <c r="BA8" s="234">
        <f>'Interventions cost'!AZ7/'National data'!$Q9</f>
        <v>325915.51523987151</v>
      </c>
      <c r="BB8" s="234">
        <f>'Interventions cost'!BA7/'National data'!$Q9</f>
        <v>752465.56749893737</v>
      </c>
      <c r="BC8" s="234">
        <f>'Interventions cost'!BB7/'National data'!$Q9</f>
        <v>46579.872859698648</v>
      </c>
      <c r="BD8" s="235">
        <f>'Interventions cost'!BC7/'National data'!$Q9</f>
        <v>560984.55495628866</v>
      </c>
      <c r="BE8" s="234">
        <f>'Interventions cost'!BD7/'National data'!$Q9</f>
        <v>603036.67535530205</v>
      </c>
      <c r="BF8" s="234">
        <f>'Interventions cost'!BE7/'National data'!$Q9</f>
        <v>1392275.9516678194</v>
      </c>
      <c r="BG8" s="234">
        <f>'Interventions cost'!BF7/'National data'!$Q9</f>
        <v>86186.052379592176</v>
      </c>
      <c r="BH8" s="235">
        <f>'Interventions cost'!BG7/'National data'!$Q9</f>
        <v>1037981.4557080286</v>
      </c>
      <c r="BI8" s="234">
        <f>'Interventions cost'!BH7/'National data'!$Q9</f>
        <v>36813.396865711984</v>
      </c>
      <c r="BJ8" s="234">
        <f>'Interventions cost'!BI7/'National data'!$Q9</f>
        <v>84993.847389357878</v>
      </c>
      <c r="BK8" s="234">
        <f>'Interventions cost'!BJ7/'National data'!$Q9</f>
        <v>5261.3737774233896</v>
      </c>
      <c r="BL8" s="234">
        <f>'Interventions cost'!BK7/'National data'!$Q9</f>
        <v>63365.338842310499</v>
      </c>
      <c r="BM8" s="247">
        <f>'Interventions cost'!CF7/'National data'!$Q9</f>
        <v>2484626.5161816142</v>
      </c>
      <c r="BN8" s="234">
        <f>'Interventions cost'!CG7/'National data'!$Q9</f>
        <v>5736443.3851683829</v>
      </c>
      <c r="BO8" s="234">
        <f>'Interventions cost'!CH7/'National data'!$Q9</f>
        <v>355103.03074217407</v>
      </c>
      <c r="BP8" s="235">
        <f>'Interventions cost'!CI7/'National data'!$Q9</f>
        <v>4276682.2542550098</v>
      </c>
      <c r="BQ8" s="26"/>
      <c r="BR8" s="26"/>
      <c r="BS8" s="26"/>
      <c r="BT8" s="26"/>
      <c r="BU8" s="26"/>
      <c r="BV8" s="26"/>
    </row>
    <row r="9" spans="1:74">
      <c r="A9" s="9">
        <v>7</v>
      </c>
      <c r="B9" s="1" t="s">
        <v>342</v>
      </c>
      <c r="C9" s="1" t="s">
        <v>343</v>
      </c>
      <c r="D9" s="135"/>
      <c r="E9" s="1">
        <f t="shared" si="8"/>
        <v>1.82</v>
      </c>
      <c r="F9" s="1">
        <f t="shared" si="8"/>
        <v>1.78</v>
      </c>
      <c r="G9" s="1">
        <f t="shared" si="8"/>
        <v>0.94</v>
      </c>
      <c r="H9" s="1">
        <f t="shared" si="8"/>
        <v>4.1900000000000004</v>
      </c>
      <c r="I9" s="1">
        <f t="shared" si="8"/>
        <v>8.31</v>
      </c>
      <c r="J9" s="1">
        <f t="shared" si="8"/>
        <v>4.13</v>
      </c>
      <c r="K9" s="180">
        <f t="shared" si="9"/>
        <v>3.5283333333333329</v>
      </c>
      <c r="L9" s="135"/>
      <c r="M9" s="114">
        <f t="shared" si="10"/>
        <v>0.20760000000000001</v>
      </c>
      <c r="N9" s="114">
        <f t="shared" si="10"/>
        <v>0.12889999999999999</v>
      </c>
      <c r="O9" s="114">
        <f t="shared" si="6"/>
        <v>3.61E-2</v>
      </c>
      <c r="P9" s="114">
        <f t="shared" si="6"/>
        <v>0.31319999999999998</v>
      </c>
      <c r="Q9" s="114">
        <f t="shared" si="6"/>
        <v>6.0199999999999997E-2</v>
      </c>
      <c r="R9" s="154">
        <f t="shared" si="6"/>
        <v>0.25390000000000001</v>
      </c>
      <c r="S9" s="185">
        <f t="shared" si="6"/>
        <v>0.377832</v>
      </c>
      <c r="T9" s="140">
        <f t="shared" si="7"/>
        <v>0.22944199999999998</v>
      </c>
      <c r="U9" s="140">
        <f t="shared" si="7"/>
        <v>3.3933999999999999E-2</v>
      </c>
      <c r="V9" s="140">
        <f t="shared" si="7"/>
        <v>1.312308</v>
      </c>
      <c r="W9" s="140">
        <f t="shared" si="7"/>
        <v>0.50026199999999998</v>
      </c>
      <c r="X9" s="186">
        <f t="shared" si="7"/>
        <v>1.0486070000000001</v>
      </c>
      <c r="Y9" s="78">
        <f>'Interventions cost'!D8/'National data'!Q10</f>
        <v>4372815.6054661172</v>
      </c>
      <c r="Z9" s="118">
        <f>'Interventions cost'!E8/'National data'!Q10</f>
        <v>10095846.99799752</v>
      </c>
      <c r="AA9" s="118">
        <f>'Interventions cost'!F8/'National data'!Q10</f>
        <v>624963.17424964253</v>
      </c>
      <c r="AB9" s="178">
        <f>'Interventions cost'!G8/'National data'!$Q10</f>
        <v>7526742.0593121266</v>
      </c>
      <c r="AC9" s="247">
        <f>'Interventions cost'!H8/'National data'!$Q10</f>
        <v>1312984.0322941125</v>
      </c>
      <c r="AD9" s="234">
        <f>'Interventions cost'!I8/'National data'!$Q10</f>
        <v>3031384.6036144975</v>
      </c>
      <c r="AE9" s="234">
        <f>'Interventions cost'!J8/'National data'!$Q10</f>
        <v>187651.78836626391</v>
      </c>
      <c r="AF9" s="235">
        <f>'Interventions cost'!K8/'National data'!$Q10</f>
        <v>2259983.7337572603</v>
      </c>
      <c r="AG9" s="247">
        <f>'Interventions cost'!L8/'National data'!$Q10</f>
        <v>629718.85822756193</v>
      </c>
      <c r="AH9" s="234">
        <f>'Interventions cost'!M8/'National data'!$Q10</f>
        <v>1453879.1062838512</v>
      </c>
      <c r="AI9" s="234">
        <f>'Interventions cost'!N8/'National data'!$Q10</f>
        <v>89999.472200659482</v>
      </c>
      <c r="AJ9" s="235">
        <f>'Interventions cost'!O8/'National data'!$Q10</f>
        <v>1083908.365547962</v>
      </c>
      <c r="AK9" s="247">
        <f>'Interventions cost'!P8/'National data'!$Q10</f>
        <v>2318071.2517453576</v>
      </c>
      <c r="AL9" s="234">
        <f>'Interventions cost'!Q8/'National data'!$Q10</f>
        <v>5351904.7679082518</v>
      </c>
      <c r="AM9" s="234">
        <f>'Interventions cost'!R8/'National data'!$Q10</f>
        <v>331298.93833545205</v>
      </c>
      <c r="AN9" s="235">
        <f>'Interventions cost'!S8/'National data'!$Q10</f>
        <v>3989997.7408570121</v>
      </c>
      <c r="AO9" s="247">
        <f>'Interventions cost'!T8/'National data'!$Q10</f>
        <v>29177.67012237454</v>
      </c>
      <c r="AP9" s="234">
        <f>'Interventions cost'!U8/'National data'!$Q10</f>
        <v>67364.672991313375</v>
      </c>
      <c r="AQ9" s="234">
        <f>'Interventions cost'!V8/'National data'!$Q10</f>
        <v>4170.0750688169965</v>
      </c>
      <c r="AR9" s="235">
        <f>'Interventions cost'!W8/'National data'!$Q10</f>
        <v>50222.286214925327</v>
      </c>
      <c r="AS9" s="118">
        <f>'Interventions cost'!AR8/'National data'!$Q10</f>
        <v>892533.81895605044</v>
      </c>
      <c r="AT9" s="118">
        <f>'Interventions cost'!AS8/'National data'!$Q10</f>
        <v>2060659.6961131629</v>
      </c>
      <c r="AU9" s="118">
        <f>'Interventions cost'!AT8/'National data'!$Q10</f>
        <v>127561.00850048782</v>
      </c>
      <c r="AV9" s="178">
        <f>'Interventions cost'!AU8/'National data'!$Q10</f>
        <v>1536280.6119923037</v>
      </c>
      <c r="AW9" s="234">
        <f>'Interventions cost'!AV8/'National data'!$Q10</f>
        <v>948293.7092345088</v>
      </c>
      <c r="AX9" s="234">
        <f>'Interventions cost'!AW8/'National data'!$Q10</f>
        <v>2189396.7323085037</v>
      </c>
      <c r="AY9" s="234">
        <f>'Interventions cost'!AX8/'National data'!$Q10</f>
        <v>135530.2167105657</v>
      </c>
      <c r="AZ9" s="235">
        <f>'Interventions cost'!AY8/'National data'!$Q10</f>
        <v>1632257.7464630273</v>
      </c>
      <c r="BA9" s="234">
        <f>'Interventions cost'!AZ8/'National data'!$Q10</f>
        <v>172815.92106834034</v>
      </c>
      <c r="BB9" s="234">
        <f>'Interventions cost'!BA8/'National data'!$Q10</f>
        <v>398993.06427260209</v>
      </c>
      <c r="BC9" s="234">
        <f>'Interventions cost'!BB8/'National data'!$Q10</f>
        <v>24698.865979333495</v>
      </c>
      <c r="BD9" s="235">
        <f>'Interventions cost'!BC8/'National data'!$Q10</f>
        <v>297460.71615685936</v>
      </c>
      <c r="BE9" s="234">
        <f>'Interventions cost'!BD8/'National data'!$Q10</f>
        <v>176106.69876236111</v>
      </c>
      <c r="BF9" s="234">
        <f>'Interventions cost'!BE8/'National data'!$Q10</f>
        <v>406590.72927858296</v>
      </c>
      <c r="BG9" s="234">
        <f>'Interventions cost'!BF8/'National data'!$Q10</f>
        <v>25169.184204239737</v>
      </c>
      <c r="BH9" s="235">
        <f>'Interventions cost'!BG8/'National data'!$Q10</f>
        <v>303124.99224626744</v>
      </c>
      <c r="BI9" s="234">
        <f>'Interventions cost'!BH8/'National data'!$Q10</f>
        <v>3655.0756499739118</v>
      </c>
      <c r="BJ9" s="234">
        <f>'Interventions cost'!BI8/'National data'!$Q10</f>
        <v>8438.746989952142</v>
      </c>
      <c r="BK9" s="234">
        <f>'Interventions cost'!BJ8/'National data'!$Q10</f>
        <v>522.38371942207243</v>
      </c>
      <c r="BL9" s="234">
        <f>'Interventions cost'!BK8/'National data'!$Q10</f>
        <v>6291.3267118414797</v>
      </c>
      <c r="BM9" s="247">
        <f>'Interventions cost'!CF8/'National data'!$Q10</f>
        <v>1073420.6804204197</v>
      </c>
      <c r="BN9" s="234">
        <f>'Interventions cost'!CG8/'National data'!$Q10</f>
        <v>2478286.7451498164</v>
      </c>
      <c r="BO9" s="234">
        <f>'Interventions cost'!CH8/'National data'!$Q10</f>
        <v>153413.37396028801</v>
      </c>
      <c r="BP9" s="235">
        <f>'Interventions cost'!CI8/'National data'!$Q10</f>
        <v>1847633.4955803838</v>
      </c>
      <c r="BQ9" s="26"/>
      <c r="BR9" s="26"/>
      <c r="BS9" s="26"/>
      <c r="BT9" s="26"/>
      <c r="BU9" s="26"/>
      <c r="BV9" s="26"/>
    </row>
    <row r="10" spans="1:74">
      <c r="A10" s="9">
        <v>8</v>
      </c>
      <c r="B10" s="1" t="s">
        <v>348</v>
      </c>
      <c r="C10" s="1" t="s">
        <v>349</v>
      </c>
      <c r="D10" s="135"/>
      <c r="E10" s="1">
        <f t="shared" si="8"/>
        <v>1.82</v>
      </c>
      <c r="F10" s="1">
        <f t="shared" si="8"/>
        <v>1.78</v>
      </c>
      <c r="G10" s="1">
        <f t="shared" si="8"/>
        <v>0.94</v>
      </c>
      <c r="H10" s="1">
        <f t="shared" si="8"/>
        <v>4.1900000000000004</v>
      </c>
      <c r="I10" s="1">
        <f t="shared" si="8"/>
        <v>8.31</v>
      </c>
      <c r="J10" s="1">
        <f t="shared" si="8"/>
        <v>4.13</v>
      </c>
      <c r="K10" s="180">
        <f t="shared" si="9"/>
        <v>3.5283333333333329</v>
      </c>
      <c r="L10" s="135"/>
      <c r="M10" s="114">
        <f t="shared" si="10"/>
        <v>0.20760000000000001</v>
      </c>
      <c r="N10" s="114">
        <f t="shared" si="10"/>
        <v>0.12889999999999999</v>
      </c>
      <c r="O10" s="114">
        <f t="shared" si="6"/>
        <v>3.61E-2</v>
      </c>
      <c r="P10" s="114">
        <f t="shared" si="6"/>
        <v>0.31319999999999998</v>
      </c>
      <c r="Q10" s="114">
        <f t="shared" si="6"/>
        <v>6.0199999999999997E-2</v>
      </c>
      <c r="R10" s="154">
        <f t="shared" si="6"/>
        <v>0.25390000000000001</v>
      </c>
      <c r="S10" s="185">
        <f t="shared" si="6"/>
        <v>0.377832</v>
      </c>
      <c r="T10" s="140">
        <f t="shared" si="7"/>
        <v>0.22944199999999998</v>
      </c>
      <c r="U10" s="140">
        <f t="shared" si="7"/>
        <v>3.3933999999999999E-2</v>
      </c>
      <c r="V10" s="140">
        <f t="shared" si="7"/>
        <v>1.312308</v>
      </c>
      <c r="W10" s="140">
        <f t="shared" si="7"/>
        <v>0.50026199999999998</v>
      </c>
      <c r="X10" s="186">
        <f t="shared" si="7"/>
        <v>1.0486070000000001</v>
      </c>
      <c r="Y10" s="78">
        <f>'Interventions cost'!D9/'National data'!Q11</f>
        <v>2749257.0595634119</v>
      </c>
      <c r="Z10" s="118">
        <f>'Interventions cost'!E9/'National data'!Q11</f>
        <v>6347415.7466921415</v>
      </c>
      <c r="AA10" s="118">
        <f>'Interventions cost'!F9/'National data'!Q11</f>
        <v>392924.05026757123</v>
      </c>
      <c r="AB10" s="178">
        <f>'Interventions cost'!G9/'National data'!$Q11</f>
        <v>4732179.5861252565</v>
      </c>
      <c r="AC10" s="247">
        <f>'Interventions cost'!H9/'National data'!$Q11</f>
        <v>576562.34572812251</v>
      </c>
      <c r="AD10" s="234">
        <f>'Interventions cost'!I9/'National data'!$Q11</f>
        <v>1331152.6834109896</v>
      </c>
      <c r="AE10" s="234">
        <f>'Interventions cost'!J9/'National data'!$Q11</f>
        <v>82402.338961799935</v>
      </c>
      <c r="AF10" s="235">
        <f>'Interventions cost'!K9/'National data'!$Q11</f>
        <v>992412.31484421086</v>
      </c>
      <c r="AG10" s="247">
        <f>'Interventions cost'!L9/'National data'!$Q11</f>
        <v>796558.05853364395</v>
      </c>
      <c r="AH10" s="234">
        <f>'Interventions cost'!M9/'National data'!$Q11</f>
        <v>1839073.2675590143</v>
      </c>
      <c r="AI10" s="234">
        <f>'Interventions cost'!N9/'National data'!$Q11</f>
        <v>113844.14474578654</v>
      </c>
      <c r="AJ10" s="235">
        <f>'Interventions cost'!O9/'National data'!$Q11</f>
        <v>1371081.6057175375</v>
      </c>
      <c r="AK10" s="247">
        <f>'Interventions cost'!P9/'National data'!$Q11</f>
        <v>1483793.5905098377</v>
      </c>
      <c r="AL10" s="234">
        <f>'Interventions cost'!Q9/'National data'!$Q11</f>
        <v>3425745.427653336</v>
      </c>
      <c r="AM10" s="234">
        <f>'Interventions cost'!R9/'National data'!$Q11</f>
        <v>212063.90479789188</v>
      </c>
      <c r="AN10" s="235">
        <f>'Interventions cost'!S9/'National data'!$Q11</f>
        <v>2553990.982621755</v>
      </c>
      <c r="AO10" s="247">
        <f>'Interventions cost'!T9/'National data'!$Q11</f>
        <v>30724.578555825927</v>
      </c>
      <c r="AP10" s="234">
        <f>'Interventions cost'!U9/'National data'!$Q11</f>
        <v>70936.136385405538</v>
      </c>
      <c r="AQ10" s="234">
        <f>'Interventions cost'!V9/'National data'!$Q11</f>
        <v>4391.1593522784005</v>
      </c>
      <c r="AR10" s="235">
        <f>'Interventions cost'!W9/'National data'!$Q11</f>
        <v>52884.914100127928</v>
      </c>
      <c r="AS10" s="118">
        <f>'Interventions cost'!AR9/'National data'!$Q11</f>
        <v>619824.81102291669</v>
      </c>
      <c r="AT10" s="118">
        <f>'Interventions cost'!AS9/'National data'!$Q11</f>
        <v>1431035.9782442879</v>
      </c>
      <c r="AU10" s="118">
        <f>'Interventions cost'!AT9/'National data'!$Q11</f>
        <v>88585.414141714267</v>
      </c>
      <c r="AV10" s="178">
        <f>'Interventions cost'!AU9/'National data'!$Q11</f>
        <v>1066878.1616813887</v>
      </c>
      <c r="AW10" s="234">
        <f>'Interventions cost'!AV9/'National data'!$Q11</f>
        <v>474976.41234407912</v>
      </c>
      <c r="AX10" s="234">
        <f>'Interventions cost'!AW9/'National data'!$Q11</f>
        <v>1096613.628228317</v>
      </c>
      <c r="AY10" s="234">
        <f>'Interventions cost'!AX9/'National data'!$Q11</f>
        <v>67883.668815397294</v>
      </c>
      <c r="AZ10" s="235">
        <f>'Interventions cost'!AY9/'National data'!$Q11</f>
        <v>817556.75576681073</v>
      </c>
      <c r="BA10" s="234">
        <f>'Interventions cost'!AZ9/'National data'!$Q11</f>
        <v>189341.70564311993</v>
      </c>
      <c r="BB10" s="234">
        <f>'Interventions cost'!BA9/'National data'!$Q11</f>
        <v>437147.38122579962</v>
      </c>
      <c r="BC10" s="234">
        <f>'Interventions cost'!BB9/'National data'!$Q11</f>
        <v>27060.732501194103</v>
      </c>
      <c r="BD10" s="235">
        <f>'Interventions cost'!BC9/'National data'!$Q11</f>
        <v>325905.84831990802</v>
      </c>
      <c r="BE10" s="234">
        <f>'Interventions cost'!BD9/'National data'!$Q11</f>
        <v>200801.89292174909</v>
      </c>
      <c r="BF10" s="234">
        <f>'Interventions cost'!BE9/'National data'!$Q11</f>
        <v>463606.37418877974</v>
      </c>
      <c r="BG10" s="234">
        <f>'Interventions cost'!BF9/'National data'!$Q11</f>
        <v>28698.623431283755</v>
      </c>
      <c r="BH10" s="235">
        <f>'Interventions cost'!BG9/'National data'!$Q11</f>
        <v>345631.78267895756</v>
      </c>
      <c r="BI10" s="234">
        <f>'Interventions cost'!BH9/'National data'!$Q11</f>
        <v>3920.2911588324801</v>
      </c>
      <c r="BJ10" s="234">
        <f>'Interventions cost'!BI9/'National data'!$Q11</f>
        <v>9051.069905097509</v>
      </c>
      <c r="BK10" s="234">
        <f>'Interventions cost'!BJ9/'National data'!$Q11</f>
        <v>560.28834226262711</v>
      </c>
      <c r="BL10" s="234">
        <f>'Interventions cost'!BK9/'National data'!$Q11</f>
        <v>6747.8309199796768</v>
      </c>
      <c r="BM10" s="247">
        <f>'Interventions cost'!CF9/'National data'!$Q11</f>
        <v>667668.72630929423</v>
      </c>
      <c r="BN10" s="234">
        <f>'Interventions cost'!CG9/'National data'!$Q11</f>
        <v>1541496.8099136204</v>
      </c>
      <c r="BO10" s="234">
        <f>'Interventions cost'!CH9/'National data'!$Q11</f>
        <v>95423.27053989601</v>
      </c>
      <c r="BP10" s="235">
        <f>'Interventions cost'!CI9/'National data'!$Q11</f>
        <v>1149229.8640989338</v>
      </c>
      <c r="BQ10" s="26"/>
      <c r="BR10" s="26"/>
      <c r="BS10" s="26"/>
      <c r="BT10" s="26"/>
      <c r="BU10" s="26"/>
      <c r="BV10" s="26"/>
    </row>
    <row r="11" spans="1:74">
      <c r="A11" s="9">
        <v>9</v>
      </c>
      <c r="B11" s="1" t="s">
        <v>353</v>
      </c>
      <c r="C11" s="1" t="s">
        <v>354</v>
      </c>
      <c r="D11" s="135"/>
      <c r="E11" s="1">
        <f t="shared" si="8"/>
        <v>1.82</v>
      </c>
      <c r="F11" s="1">
        <f t="shared" si="8"/>
        <v>1.78</v>
      </c>
      <c r="G11" s="1">
        <f t="shared" si="8"/>
        <v>0.94</v>
      </c>
      <c r="H11" s="1">
        <f t="shared" si="8"/>
        <v>4.1900000000000004</v>
      </c>
      <c r="I11" s="1">
        <f t="shared" si="8"/>
        <v>8.31</v>
      </c>
      <c r="J11" s="1">
        <f t="shared" si="8"/>
        <v>4.13</v>
      </c>
      <c r="K11" s="180">
        <f t="shared" si="9"/>
        <v>3.5283333333333329</v>
      </c>
      <c r="L11" s="135"/>
      <c r="M11" s="114">
        <f t="shared" si="10"/>
        <v>0.20760000000000001</v>
      </c>
      <c r="N11" s="114">
        <f t="shared" si="10"/>
        <v>0.12889999999999999</v>
      </c>
      <c r="O11" s="114">
        <f t="shared" si="6"/>
        <v>3.61E-2</v>
      </c>
      <c r="P11" s="114">
        <f t="shared" si="6"/>
        <v>0.31319999999999998</v>
      </c>
      <c r="Q11" s="114">
        <f t="shared" si="6"/>
        <v>6.0199999999999997E-2</v>
      </c>
      <c r="R11" s="154">
        <f t="shared" si="6"/>
        <v>0.25390000000000001</v>
      </c>
      <c r="S11" s="185">
        <f t="shared" si="6"/>
        <v>0.377832</v>
      </c>
      <c r="T11" s="140">
        <f t="shared" si="7"/>
        <v>0.22944199999999998</v>
      </c>
      <c r="U11" s="140">
        <f t="shared" si="7"/>
        <v>3.3933999999999999E-2</v>
      </c>
      <c r="V11" s="140">
        <f t="shared" si="7"/>
        <v>1.312308</v>
      </c>
      <c r="W11" s="140">
        <f t="shared" si="7"/>
        <v>0.50026199999999998</v>
      </c>
      <c r="X11" s="186">
        <f t="shared" si="7"/>
        <v>1.0486070000000001</v>
      </c>
      <c r="Y11" s="78">
        <f>'Interventions cost'!D10/'National data'!Q12</f>
        <v>41343468.311279885</v>
      </c>
      <c r="Z11" s="118">
        <f>'Interventions cost'!E10/'National data'!Q12</f>
        <v>95452762.726945236</v>
      </c>
      <c r="AA11" s="118">
        <f>'Interventions cost'!F10/'National data'!Q12</f>
        <v>5908811.9695714442</v>
      </c>
      <c r="AB11" s="178">
        <f>'Interventions cost'!G10/'National data'!$Q12</f>
        <v>71162758.710283712</v>
      </c>
      <c r="AC11" s="247">
        <f>'Interventions cost'!H10/'National data'!$Q12</f>
        <v>8091928.4110966492</v>
      </c>
      <c r="AD11" s="234">
        <f>'Interventions cost'!I10/'National data'!$Q12</f>
        <v>18682441.366853096</v>
      </c>
      <c r="AE11" s="234">
        <f>'Interventions cost'!J10/'National data'!$Q12</f>
        <v>1156499.0893460657</v>
      </c>
      <c r="AF11" s="235">
        <f>'Interventions cost'!K10/'National data'!$Q12</f>
        <v>13928293.211497467</v>
      </c>
      <c r="AG11" s="247">
        <f>'Interventions cost'!L10/'National data'!$Q12</f>
        <v>11497651.209365491</v>
      </c>
      <c r="AH11" s="234">
        <f>'Interventions cost'!M10/'National data'!$Q12</f>
        <v>26545488.746654302</v>
      </c>
      <c r="AI11" s="234">
        <f>'Interventions cost'!N10/'National data'!$Q12</f>
        <v>1643245.2782226012</v>
      </c>
      <c r="AJ11" s="235">
        <f>'Interventions cost'!O10/'National data'!$Q12</f>
        <v>19790419.434255458</v>
      </c>
      <c r="AK11" s="247">
        <f>'Interventions cost'!P10/'National data'!$Q12</f>
        <v>20917080.34872314</v>
      </c>
      <c r="AL11" s="234">
        <f>'Interventions cost'!Q10/'National data'!$Q12</f>
        <v>48292830.500685915</v>
      </c>
      <c r="AM11" s="234">
        <f>'Interventions cost'!R10/'National data'!$Q12</f>
        <v>2989470.8833439127</v>
      </c>
      <c r="AN11" s="235">
        <f>'Interventions cost'!S10/'National data'!$Q12</f>
        <v>36003683.352653913</v>
      </c>
      <c r="AO11" s="247">
        <f>'Interventions cost'!T10/'National data'!$Q12</f>
        <v>732593.37076248415</v>
      </c>
      <c r="AP11" s="234">
        <f>'Interventions cost'!U10/'National data'!$Q12</f>
        <v>1691393.200692011</v>
      </c>
      <c r="AQ11" s="234">
        <f>'Interventions cost'!V10/'National data'!$Q12</f>
        <v>104702.30618772318</v>
      </c>
      <c r="AR11" s="235">
        <f>'Interventions cost'!W10/'National data'!$Q12</f>
        <v>1260981.9012717023</v>
      </c>
      <c r="AS11" s="118">
        <f>'Interventions cost'!AR10/'National data'!$Q12</f>
        <v>11490542.702845925</v>
      </c>
      <c r="AT11" s="118">
        <f>'Interventions cost'!AS10/'National data'!$Q12</f>
        <v>26529076.805086013</v>
      </c>
      <c r="AU11" s="118">
        <f>'Interventions cost'!AT10/'National data'!$Q12</f>
        <v>1642229.3298727346</v>
      </c>
      <c r="AV11" s="178">
        <f>'Interventions cost'!AU10/'National data'!$Q12</f>
        <v>19778183.86344089</v>
      </c>
      <c r="AW11" s="234">
        <f>'Interventions cost'!AV10/'National data'!$Q12</f>
        <v>6994918.4683417333</v>
      </c>
      <c r="AX11" s="234">
        <f>'Interventions cost'!AW10/'National data'!$Q12</f>
        <v>16149692.324453192</v>
      </c>
      <c r="AY11" s="234">
        <f>'Interventions cost'!AX10/'National data'!$Q12</f>
        <v>999714.33602819708</v>
      </c>
      <c r="AZ11" s="235">
        <f>'Interventions cost'!AY10/'National data'!$Q12</f>
        <v>12040056.519034218</v>
      </c>
      <c r="BA11" s="234">
        <f>'Interventions cost'!AZ10/'National data'!$Q12</f>
        <v>3435540.9339779639</v>
      </c>
      <c r="BB11" s="234">
        <f>'Interventions cost'!BA10/'National data'!$Q12</f>
        <v>7931890.7436760822</v>
      </c>
      <c r="BC11" s="234">
        <f>'Interventions cost'!BB10/'National data'!$Q12</f>
        <v>491007.79934089712</v>
      </c>
      <c r="BD11" s="235">
        <f>'Interventions cost'!BC10/'National data'!$Q12</f>
        <v>5913450.9152265172</v>
      </c>
      <c r="BE11" s="234">
        <f>'Interventions cost'!BD10/'National data'!$Q12</f>
        <v>3268708.0165916653</v>
      </c>
      <c r="BF11" s="234">
        <f>'Interventions cost'!BE10/'National data'!$Q12</f>
        <v>7546711.0882485388</v>
      </c>
      <c r="BG11" s="234">
        <f>'Interventions cost'!BF10/'National data'!$Q12</f>
        <v>467164.02475119423</v>
      </c>
      <c r="BH11" s="235">
        <f>'Interventions cost'!BG10/'National data'!$Q12</f>
        <v>5626288.4895803202</v>
      </c>
      <c r="BI11" s="234">
        <f>'Interventions cost'!BH10/'National data'!$Q12</f>
        <v>166733.44573165034</v>
      </c>
      <c r="BJ11" s="234">
        <f>'Interventions cost'!BI10/'National data'!$Q12</f>
        <v>384949.99776608066</v>
      </c>
      <c r="BK11" s="234">
        <f>'Interventions cost'!BJ10/'National data'!$Q12</f>
        <v>23829.558092451367</v>
      </c>
      <c r="BL11" s="234">
        <f>'Interventions cost'!BK10/'National data'!$Q12</f>
        <v>286991.20930544642</v>
      </c>
      <c r="BM11" s="247">
        <f>'Interventions cost'!CF10/'National data'!$Q12</f>
        <v>11815265.883657349</v>
      </c>
      <c r="BN11" s="234">
        <f>'Interventions cost'!CG10/'National data'!$Q12</f>
        <v>27278789.540760763</v>
      </c>
      <c r="BO11" s="234">
        <f>'Interventions cost'!CH10/'National data'!$Q12</f>
        <v>1688638.7941956003</v>
      </c>
      <c r="BP11" s="235">
        <f>'Interventions cost'!CI10/'National data'!$Q12</f>
        <v>20337116.103710018</v>
      </c>
      <c r="BQ11" s="26"/>
      <c r="BR11" s="26"/>
      <c r="BS11" s="26"/>
      <c r="BT11" s="26"/>
      <c r="BU11" s="26"/>
      <c r="BV11" s="26"/>
    </row>
    <row r="12" spans="1:74">
      <c r="A12" s="9">
        <v>10</v>
      </c>
      <c r="B12" s="1" t="s">
        <v>358</v>
      </c>
      <c r="C12" s="1" t="s">
        <v>359</v>
      </c>
      <c r="D12" s="135"/>
      <c r="E12" s="1">
        <f t="shared" si="8"/>
        <v>1.82</v>
      </c>
      <c r="F12" s="1">
        <f t="shared" si="8"/>
        <v>1.78</v>
      </c>
      <c r="G12" s="1">
        <f t="shared" si="8"/>
        <v>0.94</v>
      </c>
      <c r="H12" s="1">
        <f t="shared" si="8"/>
        <v>4.1900000000000004</v>
      </c>
      <c r="I12" s="1">
        <f t="shared" si="8"/>
        <v>8.31</v>
      </c>
      <c r="J12" s="1">
        <f t="shared" si="8"/>
        <v>4.13</v>
      </c>
      <c r="K12" s="180">
        <f t="shared" si="9"/>
        <v>3.5283333333333329</v>
      </c>
      <c r="L12" s="135"/>
      <c r="M12" s="114">
        <f t="shared" si="10"/>
        <v>0.20760000000000001</v>
      </c>
      <c r="N12" s="114">
        <f t="shared" si="10"/>
        <v>0.12889999999999999</v>
      </c>
      <c r="O12" s="114">
        <f t="shared" si="6"/>
        <v>3.61E-2</v>
      </c>
      <c r="P12" s="114">
        <f t="shared" si="6"/>
        <v>0.31319999999999998</v>
      </c>
      <c r="Q12" s="114">
        <f t="shared" si="6"/>
        <v>6.0199999999999997E-2</v>
      </c>
      <c r="R12" s="154">
        <f t="shared" si="6"/>
        <v>0.25390000000000001</v>
      </c>
      <c r="S12" s="185">
        <f t="shared" si="6"/>
        <v>0.377832</v>
      </c>
      <c r="T12" s="140">
        <f t="shared" si="7"/>
        <v>0.22944199999999998</v>
      </c>
      <c r="U12" s="140">
        <f t="shared" si="7"/>
        <v>3.3933999999999999E-2</v>
      </c>
      <c r="V12" s="140">
        <f t="shared" si="7"/>
        <v>1.312308</v>
      </c>
      <c r="W12" s="140">
        <f t="shared" si="7"/>
        <v>0.50026199999999998</v>
      </c>
      <c r="X12" s="186">
        <f t="shared" si="7"/>
        <v>1.0486070000000001</v>
      </c>
      <c r="Y12" s="78">
        <f>'Interventions cost'!D11/'National data'!Q13</f>
        <v>21051121.852677379</v>
      </c>
      <c r="Z12" s="118">
        <f>'Interventions cost'!E11/'National data'!Q13</f>
        <v>48602302.16320283</v>
      </c>
      <c r="AA12" s="118">
        <f>'Interventions cost'!F11/'National data'!Q13</f>
        <v>3008628.1063669282</v>
      </c>
      <c r="AB12" s="178">
        <f>'Interventions cost'!G11/'National data'!$Q13</f>
        <v>36234403.308977865</v>
      </c>
      <c r="AC12" s="247">
        <f>'Interventions cost'!H11/'National data'!$Q13</f>
        <v>4877454.9111957243</v>
      </c>
      <c r="AD12" s="234">
        <f>'Interventions cost'!I11/'National data'!$Q13</f>
        <v>11260945.570517531</v>
      </c>
      <c r="AE12" s="234">
        <f>'Interventions cost'!J11/'National data'!$Q13</f>
        <v>697086.26628345228</v>
      </c>
      <c r="AF12" s="235">
        <f>'Interventions cost'!K11/'National data'!$Q13</f>
        <v>8395356.2955193799</v>
      </c>
      <c r="AG12" s="247">
        <f>'Interventions cost'!L11/'National data'!$Q13</f>
        <v>3507153.3528151023</v>
      </c>
      <c r="AH12" s="234">
        <f>'Interventions cost'!M11/'National data'!$Q13</f>
        <v>8097227.7002201704</v>
      </c>
      <c r="AI12" s="234">
        <f>'Interventions cost'!N11/'National data'!$Q13</f>
        <v>501242.65226636868</v>
      </c>
      <c r="AJ12" s="235">
        <f>'Interventions cost'!O11/'National data'!$Q13</f>
        <v>6036714.3348312201</v>
      </c>
      <c r="AK12" s="247">
        <f>'Interventions cost'!P11/'National data'!$Q13</f>
        <v>11697463.758265477</v>
      </c>
      <c r="AL12" s="234">
        <f>'Interventions cost'!Q11/'National data'!$Q13</f>
        <v>27006810.948178764</v>
      </c>
      <c r="AM12" s="234">
        <f>'Interventions cost'!R11/'National data'!$Q13</f>
        <v>1671802.5045230533</v>
      </c>
      <c r="AN12" s="235">
        <f>'Interventions cost'!S11/'National data'!$Q13</f>
        <v>20134348.301025856</v>
      </c>
      <c r="AO12" s="247">
        <f>'Interventions cost'!T11/'National data'!$Q13</f>
        <v>477784.58276291343</v>
      </c>
      <c r="AP12" s="234">
        <f>'Interventions cost'!U11/'National data'!$Q13</f>
        <v>1103097.061661324</v>
      </c>
      <c r="AQ12" s="234">
        <f>'Interventions cost'!V11/'National data'!$Q13</f>
        <v>68285.012767928682</v>
      </c>
      <c r="AR12" s="235">
        <f>'Interventions cost'!W11/'National data'!$Q13</f>
        <v>822390.34041985113</v>
      </c>
      <c r="AS12" s="118">
        <f>'Interventions cost'!AR11/'National data'!$Q13</f>
        <v>6399867.8168505477</v>
      </c>
      <c r="AT12" s="118">
        <f>'Interventions cost'!AS11/'National data'!$Q13</f>
        <v>14775854.304390285</v>
      </c>
      <c r="AU12" s="118">
        <f>'Interventions cost'!AT11/'National data'!$Q13</f>
        <v>914669.64685118594</v>
      </c>
      <c r="AV12" s="178">
        <f>'Interventions cost'!AU11/'National data'!$Q13</f>
        <v>11015821.067532171</v>
      </c>
      <c r="AW12" s="234">
        <f>'Interventions cost'!AV11/'National data'!$Q13</f>
        <v>4376714.0304084867</v>
      </c>
      <c r="AX12" s="234">
        <f>'Interventions cost'!AW11/'National data'!$Q13</f>
        <v>10104847.583730459</v>
      </c>
      <c r="AY12" s="234">
        <f>'Interventions cost'!AX11/'National data'!$Q13</f>
        <v>625520.33747040865</v>
      </c>
      <c r="AZ12" s="235">
        <f>'Interventions cost'!AY11/'National data'!$Q13</f>
        <v>7533452.2528410116</v>
      </c>
      <c r="BA12" s="234">
        <f>'Interventions cost'!AZ11/'National data'!$Q13</f>
        <v>1305545.1299975526</v>
      </c>
      <c r="BB12" s="234">
        <f>'Interventions cost'!BA11/'National data'!$Q13</f>
        <v>3014209.85256274</v>
      </c>
      <c r="BC12" s="234">
        <f>'Interventions cost'!BB11/'National data'!$Q13</f>
        <v>186588.61982415122</v>
      </c>
      <c r="BD12" s="235">
        <f>'Interventions cost'!BC11/'National data'!$Q13</f>
        <v>2247179.4667031812</v>
      </c>
      <c r="BE12" s="234">
        <f>'Interventions cost'!BD11/'National data'!$Q13</f>
        <v>2093241.7160537902</v>
      </c>
      <c r="BF12" s="234">
        <f>'Interventions cost'!BE11/'National data'!$Q13</f>
        <v>4832823.9747150661</v>
      </c>
      <c r="BG12" s="234">
        <f>'Interventions cost'!BF11/'National data'!$Q13</f>
        <v>299166.28217788745</v>
      </c>
      <c r="BH12" s="235">
        <f>'Interventions cost'!BG11/'National data'!$Q13</f>
        <v>3603008.1956427093</v>
      </c>
      <c r="BI12" s="234">
        <f>'Interventions cost'!BH11/'National data'!$Q13</f>
        <v>109237.20224054599</v>
      </c>
      <c r="BJ12" s="234">
        <f>'Interventions cost'!BI11/'National data'!$Q13</f>
        <v>252204.11282179077</v>
      </c>
      <c r="BK12" s="234">
        <f>'Interventions cost'!BJ11/'National data'!$Q13</f>
        <v>15612.190135130266</v>
      </c>
      <c r="BL12" s="234">
        <f>'Interventions cost'!BK11/'National data'!$Q13</f>
        <v>188025.36368506681</v>
      </c>
      <c r="BM12" s="247">
        <f>'Interventions cost'!CF11/'National data'!$Q13</f>
        <v>6029041.2986068008</v>
      </c>
      <c r="BN12" s="234">
        <f>'Interventions cost'!CG11/'National data'!$Q13</f>
        <v>13919699.339541286</v>
      </c>
      <c r="BO12" s="234">
        <f>'Interventions cost'!CH11/'National data'!$Q13</f>
        <v>861671.08966348809</v>
      </c>
      <c r="BP12" s="235">
        <f>'Interventions cost'!CI11/'National data'!$Q13</f>
        <v>10377533.107691256</v>
      </c>
      <c r="BQ12" s="26"/>
      <c r="BR12" s="26"/>
      <c r="BS12" s="26"/>
      <c r="BT12" s="26"/>
      <c r="BU12" s="26"/>
      <c r="BV12" s="26"/>
    </row>
    <row r="13" spans="1:74">
      <c r="A13" s="9">
        <v>11</v>
      </c>
      <c r="B13" s="1" t="s">
        <v>363</v>
      </c>
      <c r="C13" s="1" t="s">
        <v>364</v>
      </c>
      <c r="D13" s="135"/>
      <c r="E13" s="1">
        <f t="shared" si="8"/>
        <v>1.82</v>
      </c>
      <c r="F13" s="1">
        <f t="shared" si="8"/>
        <v>1.78</v>
      </c>
      <c r="G13" s="1">
        <f t="shared" si="8"/>
        <v>0.94</v>
      </c>
      <c r="H13" s="1">
        <f t="shared" si="8"/>
        <v>4.1900000000000004</v>
      </c>
      <c r="I13" s="1">
        <f t="shared" si="8"/>
        <v>8.31</v>
      </c>
      <c r="J13" s="1">
        <f t="shared" si="8"/>
        <v>4.13</v>
      </c>
      <c r="K13" s="180">
        <f t="shared" si="9"/>
        <v>3.5283333333333329</v>
      </c>
      <c r="L13" s="135"/>
      <c r="M13" s="114">
        <f t="shared" si="10"/>
        <v>0.20760000000000001</v>
      </c>
      <c r="N13" s="114">
        <f t="shared" si="10"/>
        <v>0.12889999999999999</v>
      </c>
      <c r="O13" s="114">
        <f t="shared" si="6"/>
        <v>3.61E-2</v>
      </c>
      <c r="P13" s="114">
        <f t="shared" si="6"/>
        <v>0.31319999999999998</v>
      </c>
      <c r="Q13" s="114">
        <f t="shared" si="6"/>
        <v>6.0199999999999997E-2</v>
      </c>
      <c r="R13" s="154">
        <f t="shared" si="6"/>
        <v>0.25390000000000001</v>
      </c>
      <c r="S13" s="185">
        <f t="shared" si="6"/>
        <v>0.377832</v>
      </c>
      <c r="T13" s="140">
        <f t="shared" si="7"/>
        <v>0.22944199999999998</v>
      </c>
      <c r="U13" s="140">
        <f t="shared" si="7"/>
        <v>3.3933999999999999E-2</v>
      </c>
      <c r="V13" s="140">
        <f t="shared" si="7"/>
        <v>1.312308</v>
      </c>
      <c r="W13" s="140">
        <f t="shared" si="7"/>
        <v>0.50026199999999998</v>
      </c>
      <c r="X13" s="186">
        <f t="shared" si="7"/>
        <v>1.0486070000000001</v>
      </c>
      <c r="Y13" s="78">
        <f>'Interventions cost'!D12/'National data'!Q14</f>
        <v>3092298.5095868497</v>
      </c>
      <c r="Z13" s="118">
        <f>'Interventions cost'!E12/'National data'!Q14</f>
        <v>7139421.2428943235</v>
      </c>
      <c r="AA13" s="118">
        <f>'Interventions cost'!F12/'National data'!Q14</f>
        <v>441951.56316746533</v>
      </c>
      <c r="AB13" s="178">
        <f>'Interventions cost'!G12/'National data'!$Q14</f>
        <v>5322642.2863478092</v>
      </c>
      <c r="AC13" s="247">
        <f>'Interventions cost'!H12/'National data'!$Q14</f>
        <v>766819.44320080348</v>
      </c>
      <c r="AD13" s="234">
        <f>'Interventions cost'!I12/'National data'!$Q14</f>
        <v>1770413.4983344998</v>
      </c>
      <c r="AE13" s="234">
        <f>'Interventions cost'!J12/'National data'!$Q14</f>
        <v>109593.8993402934</v>
      </c>
      <c r="AF13" s="235">
        <f>'Interventions cost'!K12/'National data'!$Q14</f>
        <v>1319893.7883004032</v>
      </c>
      <c r="AG13" s="247">
        <f>'Interventions cost'!L12/'National data'!$Q14</f>
        <v>757107.83753850253</v>
      </c>
      <c r="AH13" s="234">
        <f>'Interventions cost'!M12/'National data'!$Q14</f>
        <v>1747991.5867521965</v>
      </c>
      <c r="AI13" s="234">
        <f>'Interventions cost'!N12/'National data'!$Q14</f>
        <v>108205.91584193012</v>
      </c>
      <c r="AJ13" s="235">
        <f>'Interventions cost'!O12/'National data'!$Q14</f>
        <v>1303177.6133236852</v>
      </c>
      <c r="AK13" s="247">
        <f>'Interventions cost'!P12/'National data'!$Q14</f>
        <v>1605975.8431626209</v>
      </c>
      <c r="AL13" s="234">
        <f>'Interventions cost'!Q12/'National data'!$Q14</f>
        <v>3707836.7482000408</v>
      </c>
      <c r="AM13" s="234">
        <f>'Interventions cost'!R12/'National data'!$Q14</f>
        <v>229526.20262709932</v>
      </c>
      <c r="AN13" s="235">
        <f>'Interventions cost'!S12/'National data'!$Q14</f>
        <v>2764298.1126076705</v>
      </c>
      <c r="AO13" s="247">
        <f>'Interventions cost'!T12/'National data'!$Q14</f>
        <v>125808.09830207357</v>
      </c>
      <c r="AP13" s="234">
        <f>'Interventions cost'!U12/'National data'!$Q14</f>
        <v>290462.5820441785</v>
      </c>
      <c r="AQ13" s="234">
        <f>'Interventions cost'!V12/'National data'!$Q14</f>
        <v>17980.503994472449</v>
      </c>
      <c r="AR13" s="235">
        <f>'Interventions cost'!W12/'National data'!$Q14</f>
        <v>216548.14433716674</v>
      </c>
      <c r="AS13" s="118">
        <f>'Interventions cost'!AR12/'National data'!$Q14</f>
        <v>681249.9910835441</v>
      </c>
      <c r="AT13" s="118">
        <f>'Interventions cost'!AS12/'National data'!$Q14</f>
        <v>1572852.8934010477</v>
      </c>
      <c r="AU13" s="118">
        <f>'Interventions cost'!AT12/'National data'!$Q14</f>
        <v>97364.306044121302</v>
      </c>
      <c r="AV13" s="178">
        <f>'Interventions cost'!AU12/'National data'!$Q14</f>
        <v>1172606.719200535</v>
      </c>
      <c r="AW13" s="234">
        <f>'Interventions cost'!AV12/'National data'!$Q14</f>
        <v>468499.15840977343</v>
      </c>
      <c r="AX13" s="234">
        <f>'Interventions cost'!AW12/'National data'!$Q14</f>
        <v>1081659.1067968202</v>
      </c>
      <c r="AY13" s="234">
        <f>'Interventions cost'!AX12/'National data'!$Q14</f>
        <v>66957.939138128364</v>
      </c>
      <c r="AZ13" s="235">
        <f>'Interventions cost'!AY12/'National data'!$Q14</f>
        <v>806407.73325709358</v>
      </c>
      <c r="BA13" s="234">
        <f>'Interventions cost'!AZ12/'National data'!$Q14</f>
        <v>206667.02161708209</v>
      </c>
      <c r="BB13" s="234">
        <f>'Interventions cost'!BA12/'National data'!$Q14</f>
        <v>477147.63622087374</v>
      </c>
      <c r="BC13" s="234">
        <f>'Interventions cost'!BB12/'National data'!$Q14</f>
        <v>29536.868117896196</v>
      </c>
      <c r="BD13" s="235">
        <f>'Interventions cost'!BC12/'National data'!$Q14</f>
        <v>355727.17997383967</v>
      </c>
      <c r="BE13" s="234">
        <f>'Interventions cost'!BD12/'National data'!$Q14</f>
        <v>250803.36236642589</v>
      </c>
      <c r="BF13" s="234">
        <f>'Interventions cost'!BE12/'National data'!$Q14</f>
        <v>579048.51278650272</v>
      </c>
      <c r="BG13" s="234">
        <f>'Interventions cost'!BF12/'National data'!$Q14</f>
        <v>35844.8376513002</v>
      </c>
      <c r="BH13" s="235">
        <f>'Interventions cost'!BG12/'National data'!$Q14</f>
        <v>431697.19157162064</v>
      </c>
      <c r="BI13" s="234">
        <f>'Interventions cost'!BH12/'National data'!$Q14</f>
        <v>23950.566318789392</v>
      </c>
      <c r="BJ13" s="234">
        <f>'Interventions cost'!BI12/'National data'!$Q14</f>
        <v>55296.466827376273</v>
      </c>
      <c r="BK13" s="234">
        <f>'Interventions cost'!BJ12/'National data'!$Q14</f>
        <v>3423.0169534147717</v>
      </c>
      <c r="BL13" s="234">
        <f>'Interventions cost'!BK12/'National data'!$Q14</f>
        <v>41225.094108847254</v>
      </c>
      <c r="BM13" s="247">
        <f>'Interventions cost'!CF12/'National data'!$Q14</f>
        <v>779802.26220293541</v>
      </c>
      <c r="BN13" s="234">
        <f>'Interventions cost'!CG12/'National data'!$Q14</f>
        <v>1800387.9052325117</v>
      </c>
      <c r="BO13" s="234">
        <f>'Interventions cost'!CH12/'National data'!$Q14</f>
        <v>111449.40492441601</v>
      </c>
      <c r="BP13" s="235">
        <f>'Interventions cost'!CI12/'National data'!$Q14</f>
        <v>1342240.5640733473</v>
      </c>
      <c r="BQ13" s="26"/>
      <c r="BR13" s="26"/>
      <c r="BS13" s="26"/>
      <c r="BT13" s="26"/>
      <c r="BU13" s="26"/>
      <c r="BV13" s="26"/>
    </row>
    <row r="14" spans="1:74">
      <c r="A14" s="9">
        <v>12</v>
      </c>
      <c r="B14" s="1" t="s">
        <v>368</v>
      </c>
      <c r="C14" s="1" t="s">
        <v>278</v>
      </c>
      <c r="D14" s="135"/>
      <c r="E14" s="1">
        <f t="shared" si="8"/>
        <v>1.82</v>
      </c>
      <c r="F14" s="1">
        <f t="shared" si="8"/>
        <v>1.78</v>
      </c>
      <c r="G14" s="1">
        <f t="shared" si="8"/>
        <v>0.94</v>
      </c>
      <c r="H14" s="1">
        <f t="shared" si="8"/>
        <v>4.1900000000000004</v>
      </c>
      <c r="I14" s="1">
        <f t="shared" si="8"/>
        <v>8.31</v>
      </c>
      <c r="J14" s="1">
        <f t="shared" ref="J14:J52" si="11">J$2</f>
        <v>4.13</v>
      </c>
      <c r="K14" s="180">
        <f t="shared" si="9"/>
        <v>3.5283333333333329</v>
      </c>
      <c r="L14" s="135"/>
      <c r="M14" s="114">
        <f t="shared" si="10"/>
        <v>0.20760000000000001</v>
      </c>
      <c r="N14" s="114">
        <f t="shared" si="10"/>
        <v>0.12889999999999999</v>
      </c>
      <c r="O14" s="114">
        <f t="shared" si="6"/>
        <v>3.61E-2</v>
      </c>
      <c r="P14" s="114">
        <f t="shared" si="6"/>
        <v>0.31319999999999998</v>
      </c>
      <c r="Q14" s="114">
        <f t="shared" si="6"/>
        <v>6.0199999999999997E-2</v>
      </c>
      <c r="R14" s="154">
        <f t="shared" si="6"/>
        <v>0.25390000000000001</v>
      </c>
      <c r="S14" s="185">
        <f t="shared" si="6"/>
        <v>0.377832</v>
      </c>
      <c r="T14" s="140">
        <f t="shared" si="7"/>
        <v>0.22944199999999998</v>
      </c>
      <c r="U14" s="140">
        <f t="shared" si="7"/>
        <v>3.3933999999999999E-2</v>
      </c>
      <c r="V14" s="140">
        <f t="shared" si="7"/>
        <v>1.312308</v>
      </c>
      <c r="W14" s="140">
        <f t="shared" si="7"/>
        <v>0.50026199999999998</v>
      </c>
      <c r="X14" s="186">
        <f t="shared" si="7"/>
        <v>1.0486070000000001</v>
      </c>
      <c r="Y14" s="78">
        <f>'Interventions cost'!D13/'National data'!Q15</f>
        <v>6537404.4807186546</v>
      </c>
      <c r="Z14" s="118">
        <f>'Interventions cost'!E13/'National data'!Q15</f>
        <v>15093395.504456371</v>
      </c>
      <c r="AA14" s="118">
        <f>'Interventions cost'!F13/'National data'!Q15</f>
        <v>934326.39842316473</v>
      </c>
      <c r="AB14" s="178">
        <f>'Interventions cost'!G13/'National data'!$Q15</f>
        <v>11252557.094393108</v>
      </c>
      <c r="AC14" s="247">
        <f>'Interventions cost'!H13/'National data'!$Q15</f>
        <v>1462549.0360789017</v>
      </c>
      <c r="AD14" s="234">
        <f>'Interventions cost'!I13/'National data'!$Q15</f>
        <v>3376696.5332048126</v>
      </c>
      <c r="AE14" s="234">
        <f>'Interventions cost'!J13/'National data'!$Q15</f>
        <v>209027.63129116539</v>
      </c>
      <c r="AF14" s="235">
        <f>'Interventions cost'!K13/'National data'!$Q15</f>
        <v>2517423.6320189089</v>
      </c>
      <c r="AG14" s="247">
        <f>'Interventions cost'!L13/'National data'!$Q15</f>
        <v>1299149.4620241034</v>
      </c>
      <c r="AH14" s="234">
        <f>'Interventions cost'!M13/'National data'!$Q15</f>
        <v>2999443.6947514606</v>
      </c>
      <c r="AI14" s="234">
        <f>'Interventions cost'!N13/'National data'!$Q15</f>
        <v>185674.55041927233</v>
      </c>
      <c r="AJ14" s="235">
        <f>'Interventions cost'!O13/'National data'!$Q15</f>
        <v>2236170.8746479885</v>
      </c>
      <c r="AK14" s="247">
        <f>'Interventions cost'!P13/'National data'!$Q15</f>
        <v>3823883.381441819</v>
      </c>
      <c r="AL14" s="234">
        <f>'Interventions cost'!Q13/'National data'!$Q15</f>
        <v>8828486.0466022063</v>
      </c>
      <c r="AM14" s="234">
        <f>'Interventions cost'!R13/'National data'!$Q15</f>
        <v>546509.73460647429</v>
      </c>
      <c r="AN14" s="235">
        <f>'Interventions cost'!S13/'National data'!$Q15</f>
        <v>6581888.3012184286</v>
      </c>
      <c r="AO14" s="247">
        <f>'Interventions cost'!T13/'National data'!$Q15</f>
        <v>117114.6699485766</v>
      </c>
      <c r="AP14" s="234">
        <f>'Interventions cost'!U13/'National data'!$Q15</f>
        <v>270391.41269616224</v>
      </c>
      <c r="AQ14" s="234">
        <f>'Interventions cost'!V13/'National data'!$Q15</f>
        <v>16738.038482750017</v>
      </c>
      <c r="AR14" s="235">
        <f>'Interventions cost'!W13/'National data'!$Q15</f>
        <v>201584.51478322688</v>
      </c>
      <c r="AS14" s="118">
        <f>'Interventions cost'!AR13/'National data'!$Q15</f>
        <v>1648871.3732400562</v>
      </c>
      <c r="AT14" s="118">
        <f>'Interventions cost'!AS13/'National data'!$Q15</f>
        <v>3806872.8722063778</v>
      </c>
      <c r="AU14" s="118">
        <f>'Interventions cost'!AT13/'National data'!$Q15</f>
        <v>235656.83539487584</v>
      </c>
      <c r="AV14" s="178">
        <f>'Interventions cost'!AU13/'National data'!$Q15</f>
        <v>2838132.3694161973</v>
      </c>
      <c r="AW14" s="234">
        <f>'Interventions cost'!AV13/'National data'!$Q15</f>
        <v>1154282.4784224809</v>
      </c>
      <c r="AX14" s="234">
        <f>'Interventions cost'!AW13/'National data'!$Q15</f>
        <v>2664978.4363318798</v>
      </c>
      <c r="AY14" s="234">
        <f>'Interventions cost'!AX13/'National data'!$Q15</f>
        <v>164970.14893422721</v>
      </c>
      <c r="AZ14" s="235">
        <f>'Interventions cost'!AY13/'National data'!$Q15</f>
        <v>1986817.4792939706</v>
      </c>
      <c r="BA14" s="234">
        <f>'Interventions cost'!AZ13/'National data'!$Q15</f>
        <v>612099.98995239788</v>
      </c>
      <c r="BB14" s="234">
        <f>'Interventions cost'!BA13/'National data'!$Q15</f>
        <v>1413201.1050981674</v>
      </c>
      <c r="BC14" s="234">
        <f>'Interventions cost'!BB13/'National data'!$Q15</f>
        <v>87481.382064370948</v>
      </c>
      <c r="BD14" s="235">
        <f>'Interventions cost'!BC13/'National data'!$Q15</f>
        <v>1053581.7547669383</v>
      </c>
      <c r="BE14" s="234">
        <f>'Interventions cost'!BD13/'National data'!$Q15</f>
        <v>678688.52117276739</v>
      </c>
      <c r="BF14" s="234">
        <f>'Interventions cost'!BE13/'National data'!$Q15</f>
        <v>1566939.0359137</v>
      </c>
      <c r="BG14" s="234">
        <f>'Interventions cost'!BF13/'National data'!$Q15</f>
        <v>96998.220548958183</v>
      </c>
      <c r="BH14" s="235">
        <f>'Interventions cost'!BG13/'National data'!$Q15</f>
        <v>1168197.7696699379</v>
      </c>
      <c r="BI14" s="234">
        <f>'Interventions cost'!BH13/'National data'!$Q15</f>
        <v>25869.402899798097</v>
      </c>
      <c r="BJ14" s="234">
        <f>'Interventions cost'!BI13/'National data'!$Q15</f>
        <v>59726.628600447315</v>
      </c>
      <c r="BK14" s="234">
        <f>'Interventions cost'!BJ13/'National data'!$Q15</f>
        <v>3697.2572390180576</v>
      </c>
      <c r="BL14" s="234">
        <f>'Interventions cost'!BK13/'National data'!$Q15</f>
        <v>44527.906141710308</v>
      </c>
      <c r="BM14" s="247">
        <f>'Interventions cost'!CF13/'National data'!$Q15</f>
        <v>1588074.9245026973</v>
      </c>
      <c r="BN14" s="234">
        <f>'Interventions cost'!CG13/'National data'!$Q15</f>
        <v>3666507.5561599568</v>
      </c>
      <c r="BO14" s="234">
        <f>'Interventions cost'!CH13/'National data'!$Q15</f>
        <v>226967.80182609003</v>
      </c>
      <c r="BP14" s="235">
        <f>'Interventions cost'!CI13/'National data'!$Q15</f>
        <v>2733486.0204605535</v>
      </c>
      <c r="BQ14" s="26"/>
      <c r="BR14" s="26"/>
      <c r="BS14" s="26"/>
      <c r="BT14" s="26"/>
      <c r="BU14" s="26"/>
      <c r="BV14" s="26"/>
    </row>
    <row r="15" spans="1:74">
      <c r="A15" s="9">
        <v>13</v>
      </c>
      <c r="B15" s="1" t="s">
        <v>372</v>
      </c>
      <c r="C15" s="1" t="s">
        <v>373</v>
      </c>
      <c r="D15" s="135"/>
      <c r="E15" s="1">
        <f t="shared" si="8"/>
        <v>1.82</v>
      </c>
      <c r="F15" s="1">
        <f t="shared" si="8"/>
        <v>1.78</v>
      </c>
      <c r="G15" s="1">
        <f t="shared" si="8"/>
        <v>0.94</v>
      </c>
      <c r="H15" s="1">
        <f t="shared" si="8"/>
        <v>4.1900000000000004</v>
      </c>
      <c r="I15" s="1">
        <f t="shared" si="8"/>
        <v>8.31</v>
      </c>
      <c r="J15" s="1">
        <f t="shared" si="11"/>
        <v>4.13</v>
      </c>
      <c r="K15" s="180">
        <f t="shared" si="9"/>
        <v>3.5283333333333329</v>
      </c>
      <c r="L15" s="135"/>
      <c r="M15" s="114">
        <f t="shared" si="10"/>
        <v>0.20760000000000001</v>
      </c>
      <c r="N15" s="114">
        <f t="shared" si="10"/>
        <v>0.12889999999999999</v>
      </c>
      <c r="O15" s="114">
        <f t="shared" si="6"/>
        <v>3.61E-2</v>
      </c>
      <c r="P15" s="114">
        <f t="shared" si="6"/>
        <v>0.31319999999999998</v>
      </c>
      <c r="Q15" s="114">
        <f t="shared" si="6"/>
        <v>6.0199999999999997E-2</v>
      </c>
      <c r="R15" s="154">
        <f t="shared" si="6"/>
        <v>0.25390000000000001</v>
      </c>
      <c r="S15" s="185">
        <f t="shared" si="6"/>
        <v>0.377832</v>
      </c>
      <c r="T15" s="140">
        <f t="shared" si="7"/>
        <v>0.22944199999999998</v>
      </c>
      <c r="U15" s="140">
        <f t="shared" si="7"/>
        <v>3.3933999999999999E-2</v>
      </c>
      <c r="V15" s="140">
        <f t="shared" si="7"/>
        <v>1.312308</v>
      </c>
      <c r="W15" s="140">
        <f t="shared" si="7"/>
        <v>0.50026199999999998</v>
      </c>
      <c r="X15" s="186">
        <f t="shared" si="7"/>
        <v>1.0486070000000001</v>
      </c>
      <c r="Y15" s="78">
        <f>'Interventions cost'!D14/'National data'!Q16</f>
        <v>23936731.246504575</v>
      </c>
      <c r="Z15" s="118">
        <f>'Interventions cost'!E14/'National data'!Q16</f>
        <v>55264524.759474024</v>
      </c>
      <c r="AA15" s="118">
        <f>'Interventions cost'!F14/'National data'!Q16</f>
        <v>3421039.6437197812</v>
      </c>
      <c r="AB15" s="178">
        <f>'Interventions cost'!G14/'National data'!$Q16</f>
        <v>41201280.385641165</v>
      </c>
      <c r="AC15" s="247">
        <f>'Interventions cost'!H14/'National data'!$Q16</f>
        <v>5848422.9389571752</v>
      </c>
      <c r="AD15" s="234">
        <f>'Interventions cost'!I14/'National data'!$Q16</f>
        <v>13502692.200760385</v>
      </c>
      <c r="AE15" s="234">
        <f>'Interventions cost'!J14/'National data'!$Q16</f>
        <v>835857.09850564203</v>
      </c>
      <c r="AF15" s="235">
        <f>'Interventions cost'!K14/'National data'!$Q16</f>
        <v>10066642.384890269</v>
      </c>
      <c r="AG15" s="247">
        <f>'Interventions cost'!L14/'National data'!$Q16</f>
        <v>5509709.5412544357</v>
      </c>
      <c r="AH15" s="234">
        <f>'Interventions cost'!M14/'National data'!$Q16</f>
        <v>12720679.203207005</v>
      </c>
      <c r="AI15" s="234">
        <f>'Interventions cost'!N14/'National data'!$Q16</f>
        <v>787448.15120757243</v>
      </c>
      <c r="AJ15" s="235">
        <f>'Interventions cost'!O14/'National data'!$Q16</f>
        <v>9483629.3775832802</v>
      </c>
      <c r="AK15" s="247">
        <f>'Interventions cost'!P14/'National data'!$Q16</f>
        <v>15686671.609707672</v>
      </c>
      <c r="AL15" s="234">
        <f>'Interventions cost'!Q14/'National data'!$Q16</f>
        <v>36216993.984716341</v>
      </c>
      <c r="AM15" s="234">
        <f>'Interventions cost'!R14/'National data'!$Q16</f>
        <v>2241940.4262919188</v>
      </c>
      <c r="AN15" s="235">
        <f>'Interventions cost'!S14/'National data'!$Q16</f>
        <v>27000802.601375338</v>
      </c>
      <c r="AO15" s="247">
        <f>'Interventions cost'!T14/'National data'!$Q16</f>
        <v>182537.42185444059</v>
      </c>
      <c r="AP15" s="234">
        <f>'Interventions cost'!U14/'National data'!$Q16</f>
        <v>421437.82146855962</v>
      </c>
      <c r="AQ15" s="234">
        <f>'Interventions cost'!V14/'National data'!$Q16</f>
        <v>26088.263689622723</v>
      </c>
      <c r="AR15" s="235">
        <f>'Interventions cost'!W14/'National data'!$Q16</f>
        <v>314193.92319054069</v>
      </c>
      <c r="AS15" s="118">
        <f>'Interventions cost'!AR14/'National data'!$Q16</f>
        <v>5313629.397750264</v>
      </c>
      <c r="AT15" s="118">
        <f>'Interventions cost'!AS14/'National data'!$Q16</f>
        <v>12267974.285650229</v>
      </c>
      <c r="AU15" s="118">
        <f>'Interventions cost'!AT14/'National data'!$Q16</f>
        <v>759424.36060032342</v>
      </c>
      <c r="AV15" s="178">
        <f>'Interventions cost'!AU14/'National data'!$Q16</f>
        <v>9146124.9419368375</v>
      </c>
      <c r="AW15" s="234">
        <f>'Interventions cost'!AV14/'National data'!$Q16</f>
        <v>3686042.033975394</v>
      </c>
      <c r="AX15" s="234">
        <f>'Interventions cost'!AW14/'National data'!$Q16</f>
        <v>8510241.4006859045</v>
      </c>
      <c r="AY15" s="234">
        <f>'Interventions cost'!AX14/'National data'!$Q16</f>
        <v>526809.43762898888</v>
      </c>
      <c r="AZ15" s="235">
        <f>'Interventions cost'!AY14/'National data'!$Q16</f>
        <v>6344627.8354007285</v>
      </c>
      <c r="BA15" s="234">
        <f>'Interventions cost'!AZ14/'National data'!$Q16</f>
        <v>1220971.3673025942</v>
      </c>
      <c r="BB15" s="234">
        <f>'Interventions cost'!BA14/'National data'!$Q16</f>
        <v>2818948.070395221</v>
      </c>
      <c r="BC15" s="234">
        <f>'Interventions cost'!BB14/'National data'!$Q16</f>
        <v>174501.33054398885</v>
      </c>
      <c r="BD15" s="235">
        <f>'Interventions cost'!BC14/'National data'!$Q16</f>
        <v>2101606.2355807195</v>
      </c>
      <c r="BE15" s="234">
        <f>'Interventions cost'!BD14/'National data'!$Q16</f>
        <v>1672343.3181335884</v>
      </c>
      <c r="BF15" s="234">
        <f>'Interventions cost'!BE14/'National data'!$Q16</f>
        <v>3861064.3098911298</v>
      </c>
      <c r="BG15" s="234">
        <f>'Interventions cost'!BF14/'National data'!$Q16</f>
        <v>239011.44773392289</v>
      </c>
      <c r="BH15" s="235">
        <f>'Interventions cost'!BG14/'National data'!$Q16</f>
        <v>2878533.6327631283</v>
      </c>
      <c r="BI15" s="234">
        <f>'Interventions cost'!BH14/'National data'!$Q16</f>
        <v>26163.34051655556</v>
      </c>
      <c r="BJ15" s="234">
        <f>'Interventions cost'!BI14/'National data'!$Q16</f>
        <v>60405.264397948093</v>
      </c>
      <c r="BK15" s="234">
        <f>'Interventions cost'!BJ14/'National data'!$Q16</f>
        <v>3739.2668279361196</v>
      </c>
      <c r="BL15" s="234">
        <f>'Interventions cost'!BK14/'National data'!$Q16</f>
        <v>45033.848496127648</v>
      </c>
      <c r="BM15" s="247">
        <f>'Interventions cost'!CF14/'National data'!$Q16</f>
        <v>6639494.4909188543</v>
      </c>
      <c r="BN15" s="234">
        <f>'Interventions cost'!CG14/'National data'!$Q16</f>
        <v>15329098.359549746</v>
      </c>
      <c r="BO15" s="234">
        <f>'Interventions cost'!CH14/'National data'!$Q16</f>
        <v>948917.111270544</v>
      </c>
      <c r="BP15" s="235">
        <f>'Interventions cost'!CI14/'National data'!$Q16</f>
        <v>11428280.29951727</v>
      </c>
      <c r="BQ15" s="26"/>
      <c r="BR15" s="26"/>
      <c r="BS15" s="26"/>
      <c r="BT15" s="26"/>
      <c r="BU15" s="26"/>
      <c r="BV15" s="26"/>
    </row>
    <row r="16" spans="1:74">
      <c r="A16" s="9">
        <v>14</v>
      </c>
      <c r="B16" s="1" t="s">
        <v>378</v>
      </c>
      <c r="C16" s="1" t="s">
        <v>379</v>
      </c>
      <c r="D16" s="135"/>
      <c r="E16" s="1">
        <f t="shared" si="8"/>
        <v>1.82</v>
      </c>
      <c r="F16" s="1">
        <f t="shared" si="8"/>
        <v>1.78</v>
      </c>
      <c r="G16" s="1">
        <f t="shared" si="8"/>
        <v>0.94</v>
      </c>
      <c r="H16" s="1">
        <f t="shared" si="8"/>
        <v>4.1900000000000004</v>
      </c>
      <c r="I16" s="1">
        <f t="shared" si="8"/>
        <v>8.31</v>
      </c>
      <c r="J16" s="1">
        <f t="shared" si="11"/>
        <v>4.13</v>
      </c>
      <c r="K16" s="180">
        <f t="shared" si="9"/>
        <v>3.5283333333333329</v>
      </c>
      <c r="L16" s="135"/>
      <c r="M16" s="114">
        <f t="shared" si="10"/>
        <v>0.20760000000000001</v>
      </c>
      <c r="N16" s="114">
        <f t="shared" si="10"/>
        <v>0.12889999999999999</v>
      </c>
      <c r="O16" s="114">
        <f t="shared" si="6"/>
        <v>3.61E-2</v>
      </c>
      <c r="P16" s="114">
        <f t="shared" si="6"/>
        <v>0.31319999999999998</v>
      </c>
      <c r="Q16" s="114">
        <f t="shared" si="6"/>
        <v>6.0199999999999997E-2</v>
      </c>
      <c r="R16" s="154">
        <f t="shared" si="6"/>
        <v>0.25390000000000001</v>
      </c>
      <c r="S16" s="185">
        <f t="shared" si="6"/>
        <v>0.377832</v>
      </c>
      <c r="T16" s="140">
        <f t="shared" si="7"/>
        <v>0.22944199999999998</v>
      </c>
      <c r="U16" s="140">
        <f t="shared" si="7"/>
        <v>3.3933999999999999E-2</v>
      </c>
      <c r="V16" s="140">
        <f t="shared" si="7"/>
        <v>1.312308</v>
      </c>
      <c r="W16" s="140">
        <f t="shared" si="7"/>
        <v>0.50026199999999998</v>
      </c>
      <c r="X16" s="186">
        <f t="shared" si="7"/>
        <v>1.0486070000000001</v>
      </c>
      <c r="Y16" s="78">
        <f>'Interventions cost'!D15/'National data'!Q17</f>
        <v>20122804.495179527</v>
      </c>
      <c r="Z16" s="118">
        <f>'Interventions cost'!E15/'National data'!Q17</f>
        <v>46459026.330769286</v>
      </c>
      <c r="AA16" s="118">
        <f>'Interventions cost'!F15/'National data'!Q17</f>
        <v>2875952.9115273184</v>
      </c>
      <c r="AB16" s="178">
        <f>'Interventions cost'!G15/'National data'!$Q17</f>
        <v>34636530.009601943</v>
      </c>
      <c r="AC16" s="247">
        <f>'Interventions cost'!H15/'National data'!$Q17</f>
        <v>3649617.3462276459</v>
      </c>
      <c r="AD16" s="234">
        <f>'Interventions cost'!I15/'National data'!$Q17</f>
        <v>8426144.9951591287</v>
      </c>
      <c r="AE16" s="234">
        <f>'Interventions cost'!J15/'National data'!$Q17</f>
        <v>521603.6181914098</v>
      </c>
      <c r="AF16" s="235">
        <f>'Interventions cost'!K15/'National data'!$Q17</f>
        <v>6281931.5650787931</v>
      </c>
      <c r="AG16" s="247">
        <f>'Interventions cost'!L15/'National data'!$Q17</f>
        <v>3062669.7415998126</v>
      </c>
      <c r="AH16" s="234">
        <f>'Interventions cost'!M15/'National data'!$Q17</f>
        <v>7071015.0864667865</v>
      </c>
      <c r="AI16" s="234">
        <f>'Interventions cost'!N15/'National data'!$Q17</f>
        <v>437717.01715387672</v>
      </c>
      <c r="AJ16" s="235">
        <f>'Interventions cost'!O15/'National data'!$Q17</f>
        <v>5271643.5445085978</v>
      </c>
      <c r="AK16" s="247">
        <f>'Interventions cost'!P15/'National data'!$Q17</f>
        <v>10733860.509573091</v>
      </c>
      <c r="AL16" s="234">
        <f>'Interventions cost'!Q15/'National data'!$Q17</f>
        <v>24782067.935139079</v>
      </c>
      <c r="AM16" s="234">
        <f>'Interventions cost'!R15/'National data'!$Q17</f>
        <v>1534084.2471450665</v>
      </c>
      <c r="AN16" s="235">
        <f>'Interventions cost'!S15/'National data'!$Q17</f>
        <v>18475738.893540986</v>
      </c>
      <c r="AO16" s="247">
        <f>'Interventions cost'!T15/'National data'!$Q17</f>
        <v>156055.07758716634</v>
      </c>
      <c r="AP16" s="234">
        <f>'Interventions cost'!U15/'National data'!$Q17</f>
        <v>360296.04921168933</v>
      </c>
      <c r="AQ16" s="234">
        <f>'Interventions cost'!V15/'National data'!$Q17</f>
        <v>22303.40481879381</v>
      </c>
      <c r="AR16" s="235">
        <f>'Interventions cost'!W15/'National data'!$Q17</f>
        <v>268610.98706661287</v>
      </c>
      <c r="AS16" s="118">
        <f>'Interventions cost'!AR15/'National data'!$Q17</f>
        <v>5576327.19277923</v>
      </c>
      <c r="AT16" s="118">
        <f>'Interventions cost'!AS15/'National data'!$Q17</f>
        <v>12874484.366251042</v>
      </c>
      <c r="AU16" s="118">
        <f>'Interventions cost'!AT15/'National data'!$Q17</f>
        <v>796969.15156851802</v>
      </c>
      <c r="AV16" s="178">
        <f>'Interventions cost'!AU15/'National data'!$Q17</f>
        <v>9598295.5160313547</v>
      </c>
      <c r="AW16" s="234">
        <f>'Interventions cost'!AV15/'National data'!$Q17</f>
        <v>4063681.8624142385</v>
      </c>
      <c r="AX16" s="234">
        <f>'Interventions cost'!AW15/'National data'!$Q17</f>
        <v>9382126.7652329002</v>
      </c>
      <c r="AY16" s="234">
        <f>'Interventions cost'!AX15/'National data'!$Q17</f>
        <v>580781.75368302327</v>
      </c>
      <c r="AZ16" s="235">
        <f>'Interventions cost'!AY15/'National data'!$Q17</f>
        <v>6994643.2571415892</v>
      </c>
      <c r="BA16" s="234">
        <f>'Interventions cost'!AZ15/'National data'!$Q17</f>
        <v>1054166.9799830054</v>
      </c>
      <c r="BB16" s="234">
        <f>'Interventions cost'!BA15/'National data'!$Q17</f>
        <v>2433834.2844701512</v>
      </c>
      <c r="BC16" s="234">
        <f>'Interventions cost'!BB15/'National data'!$Q17</f>
        <v>150661.63347382049</v>
      </c>
      <c r="BD16" s="235">
        <f>'Interventions cost'!BC15/'National data'!$Q17</f>
        <v>1814492.9175284461</v>
      </c>
      <c r="BE16" s="234">
        <f>'Interventions cost'!BD15/'National data'!$Q17</f>
        <v>1254799.4185586569</v>
      </c>
      <c r="BF16" s="234">
        <f>'Interventions cost'!BE15/'National data'!$Q17</f>
        <v>2897049.426714641</v>
      </c>
      <c r="BG16" s="234">
        <f>'Interventions cost'!BF15/'National data'!$Q17</f>
        <v>179336.0384757026</v>
      </c>
      <c r="BH16" s="235">
        <f>'Interventions cost'!BG15/'National data'!$Q17</f>
        <v>2159833.0256276866</v>
      </c>
      <c r="BI16" s="234">
        <f>'Interventions cost'!BH15/'National data'!$Q17</f>
        <v>42778.617302659593</v>
      </c>
      <c r="BJ16" s="234">
        <f>'Interventions cost'!BI15/'National data'!$Q17</f>
        <v>98766.1987241522</v>
      </c>
      <c r="BK16" s="234">
        <f>'Interventions cost'!BJ15/'National data'!$Q17</f>
        <v>6113.9235841688369</v>
      </c>
      <c r="BL16" s="234">
        <f>'Interventions cost'!BK15/'National data'!$Q17</f>
        <v>73633.019807343066</v>
      </c>
      <c r="BM16" s="247">
        <f>'Interventions cost'!CF15/'National data'!$Q17</f>
        <v>4744989.4964505229</v>
      </c>
      <c r="BN16" s="234">
        <f>'Interventions cost'!CG15/'National data'!$Q17</f>
        <v>10955112.743237523</v>
      </c>
      <c r="BO16" s="234">
        <f>'Interventions cost'!CH15/'National data'!$Q17</f>
        <v>678154.29806280008</v>
      </c>
      <c r="BP16" s="235">
        <f>'Interventions cost'!CI15/'National data'!$Q17</f>
        <v>8167349.1947121527</v>
      </c>
      <c r="BQ16" s="26"/>
      <c r="BR16" s="26"/>
      <c r="BS16" s="26"/>
      <c r="BT16" s="26"/>
      <c r="BU16" s="26"/>
      <c r="BV16" s="26"/>
    </row>
    <row r="17" spans="1:74">
      <c r="A17" s="9">
        <v>15</v>
      </c>
      <c r="B17" s="1" t="s">
        <v>383</v>
      </c>
      <c r="C17" s="1" t="s">
        <v>384</v>
      </c>
      <c r="D17" s="135"/>
      <c r="E17" s="1">
        <f t="shared" si="8"/>
        <v>1.82</v>
      </c>
      <c r="F17" s="1">
        <f t="shared" si="8"/>
        <v>1.78</v>
      </c>
      <c r="G17" s="1">
        <f t="shared" si="8"/>
        <v>0.94</v>
      </c>
      <c r="H17" s="1">
        <f t="shared" si="8"/>
        <v>4.1900000000000004</v>
      </c>
      <c r="I17" s="1">
        <f t="shared" si="8"/>
        <v>8.31</v>
      </c>
      <c r="J17" s="1">
        <f t="shared" si="11"/>
        <v>4.13</v>
      </c>
      <c r="K17" s="180">
        <f t="shared" si="9"/>
        <v>3.5283333333333329</v>
      </c>
      <c r="L17" s="135"/>
      <c r="M17" s="114">
        <f t="shared" si="10"/>
        <v>0.20760000000000001</v>
      </c>
      <c r="N17" s="114">
        <f t="shared" si="10"/>
        <v>0.12889999999999999</v>
      </c>
      <c r="O17" s="114">
        <f t="shared" si="6"/>
        <v>3.61E-2</v>
      </c>
      <c r="P17" s="114">
        <f t="shared" si="6"/>
        <v>0.31319999999999998</v>
      </c>
      <c r="Q17" s="114">
        <f t="shared" si="6"/>
        <v>6.0199999999999997E-2</v>
      </c>
      <c r="R17" s="154">
        <f t="shared" si="6"/>
        <v>0.25390000000000001</v>
      </c>
      <c r="S17" s="185">
        <f t="shared" si="6"/>
        <v>0.377832</v>
      </c>
      <c r="T17" s="140">
        <f t="shared" si="7"/>
        <v>0.22944199999999998</v>
      </c>
      <c r="U17" s="140">
        <f t="shared" si="7"/>
        <v>3.3933999999999999E-2</v>
      </c>
      <c r="V17" s="140">
        <f t="shared" si="7"/>
        <v>1.312308</v>
      </c>
      <c r="W17" s="140">
        <f t="shared" si="7"/>
        <v>0.50026199999999998</v>
      </c>
      <c r="X17" s="186">
        <f t="shared" si="7"/>
        <v>1.0486070000000001</v>
      </c>
      <c r="Y17" s="78">
        <f>'Interventions cost'!D16/'National data'!Q18</f>
        <v>8523515.1882308759</v>
      </c>
      <c r="Z17" s="118">
        <f>'Interventions cost'!E16/'National data'!Q18</f>
        <v>19678878.093537699</v>
      </c>
      <c r="AA17" s="118">
        <f>'Interventions cost'!F16/'National data'!Q18</f>
        <v>1218181.5078465887</v>
      </c>
      <c r="AB17" s="178">
        <f>'Interventions cost'!G16/'National data'!$Q18</f>
        <v>14671165.228245335</v>
      </c>
      <c r="AC17" s="247">
        <f>'Interventions cost'!H16/'National data'!$Q18</f>
        <v>2294573.0497198799</v>
      </c>
      <c r="AD17" s="234">
        <f>'Interventions cost'!I16/'National data'!$Q18</f>
        <v>5297652.7084158016</v>
      </c>
      <c r="AE17" s="234">
        <f>'Interventions cost'!J16/'National data'!$Q18</f>
        <v>327940.57332489797</v>
      </c>
      <c r="AF17" s="235">
        <f>'Interventions cost'!K16/'National data'!$Q18</f>
        <v>3949551.2822223753</v>
      </c>
      <c r="AG17" s="247">
        <f>'Interventions cost'!L16/'National data'!$Q18</f>
        <v>1633258.5606955003</v>
      </c>
      <c r="AH17" s="234">
        <f>'Interventions cost'!M16/'National data'!$Q18</f>
        <v>3770826.4021788691</v>
      </c>
      <c r="AI17" s="234">
        <f>'Interventions cost'!N16/'National data'!$Q18</f>
        <v>233425.45091238964</v>
      </c>
      <c r="AJ17" s="235">
        <f>'Interventions cost'!O16/'National data'!$Q18</f>
        <v>2811258.697291452</v>
      </c>
      <c r="AK17" s="247">
        <f>'Interventions cost'!P16/'National data'!$Q18</f>
        <v>5664165.7097497722</v>
      </c>
      <c r="AL17" s="234">
        <f>'Interventions cost'!Q16/'National data'!$Q18</f>
        <v>13077283.731208736</v>
      </c>
      <c r="AM17" s="234">
        <f>'Interventions cost'!R16/'National data'!$Q18</f>
        <v>809523.03980443429</v>
      </c>
      <c r="AN17" s="235">
        <f>'Interventions cost'!S16/'National data'!$Q18</f>
        <v>9749488.2302366681</v>
      </c>
      <c r="AO17" s="247">
        <f>'Interventions cost'!T16/'National data'!$Q18</f>
        <v>81105.243047649419</v>
      </c>
      <c r="AP17" s="234">
        <f>'Interventions cost'!U16/'National data'!$Q18</f>
        <v>187253.75099762258</v>
      </c>
      <c r="AQ17" s="234">
        <f>'Interventions cost'!V16/'National data'!$Q18</f>
        <v>11591.568160337445</v>
      </c>
      <c r="AR17" s="235">
        <f>'Interventions cost'!W16/'National data'!$Q18</f>
        <v>139603.01534653988</v>
      </c>
      <c r="AS17" s="118">
        <f>'Interventions cost'!AR16/'National data'!$Q18</f>
        <v>2218549.8232586496</v>
      </c>
      <c r="AT17" s="118">
        <f>'Interventions cost'!AS16/'National data'!$Q18</f>
        <v>5122132.1898539672</v>
      </c>
      <c r="AU17" s="118">
        <f>'Interventions cost'!AT16/'National data'!$Q18</f>
        <v>317075.3274026782</v>
      </c>
      <c r="AV17" s="178">
        <f>'Interventions cost'!AU16/'National data'!$Q18</f>
        <v>3818695.7265078649</v>
      </c>
      <c r="AW17" s="234">
        <f>'Interventions cost'!AV16/'National data'!$Q18</f>
        <v>1681222.5529350278</v>
      </c>
      <c r="AX17" s="234">
        <f>'Interventions cost'!AW16/'National data'!$Q18</f>
        <v>3881564.4645060594</v>
      </c>
      <c r="AY17" s="234">
        <f>'Interventions cost'!AX16/'National data'!$Q18</f>
        <v>240280.46871881859</v>
      </c>
      <c r="AZ17" s="235">
        <f>'Interventions cost'!AY16/'National data'!$Q18</f>
        <v>2893817.0830762316</v>
      </c>
      <c r="BA17" s="234">
        <f>'Interventions cost'!AZ16/'National data'!$Q18</f>
        <v>492452.46189594513</v>
      </c>
      <c r="BB17" s="234">
        <f>'Interventions cost'!BA16/'National data'!$Q18</f>
        <v>1136961.893127599</v>
      </c>
      <c r="BC17" s="234">
        <f>'Interventions cost'!BB16/'National data'!$Q18</f>
        <v>70381.347287735713</v>
      </c>
      <c r="BD17" s="235">
        <f>'Interventions cost'!BC16/'National data'!$Q18</f>
        <v>847637.53873607831</v>
      </c>
      <c r="BE17" s="234">
        <f>'Interventions cost'!BD16/'National data'!$Q18</f>
        <v>585987.16842919297</v>
      </c>
      <c r="BF17" s="234">
        <f>'Interventions cost'!BE16/'National data'!$Q18</f>
        <v>1352912.4776850317</v>
      </c>
      <c r="BG17" s="234">
        <f>'Interventions cost'!BF16/'National data'!$Q18</f>
        <v>83749.335415215042</v>
      </c>
      <c r="BH17" s="235">
        <f>'Interventions cost'!BG16/'National data'!$Q18</f>
        <v>1008634.8624716559</v>
      </c>
      <c r="BI17" s="234">
        <f>'Interventions cost'!BH16/'National data'!$Q18</f>
        <v>13219.050201483475</v>
      </c>
      <c r="BJ17" s="234">
        <f>'Interventions cost'!BI16/'National data'!$Q18</f>
        <v>30519.81156630538</v>
      </c>
      <c r="BK17" s="234">
        <f>'Interventions cost'!BJ16/'National data'!$Q18</f>
        <v>1889.2677670097805</v>
      </c>
      <c r="BL17" s="234">
        <f>'Interventions cost'!BK16/'National data'!$Q18</f>
        <v>22753.390518294764</v>
      </c>
      <c r="BM17" s="247">
        <f>'Interventions cost'!CF16/'National data'!$Q18</f>
        <v>1784315.3470482889</v>
      </c>
      <c r="BN17" s="234">
        <f>'Interventions cost'!CG16/'National data'!$Q18</f>
        <v>4119582.521947701</v>
      </c>
      <c r="BO17" s="234">
        <f>'Interventions cost'!CH16/'National data'!$Q18</f>
        <v>255014.49952742408</v>
      </c>
      <c r="BP17" s="235">
        <f>'Interventions cost'!CI16/'National data'!$Q18</f>
        <v>3071266.3376238802</v>
      </c>
      <c r="BQ17" s="26"/>
      <c r="BR17" s="26"/>
      <c r="BS17" s="26"/>
      <c r="BT17" s="26"/>
      <c r="BU17" s="26"/>
      <c r="BV17" s="26"/>
    </row>
    <row r="18" spans="1:74">
      <c r="A18" s="9">
        <v>16</v>
      </c>
      <c r="B18" s="1" t="s">
        <v>388</v>
      </c>
      <c r="C18" s="1" t="s">
        <v>389</v>
      </c>
      <c r="D18" s="135"/>
      <c r="E18" s="1">
        <f t="shared" si="8"/>
        <v>1.82</v>
      </c>
      <c r="F18" s="1">
        <f t="shared" si="8"/>
        <v>1.78</v>
      </c>
      <c r="G18" s="1">
        <f t="shared" si="8"/>
        <v>0.94</v>
      </c>
      <c r="H18" s="1">
        <f t="shared" si="8"/>
        <v>4.1900000000000004</v>
      </c>
      <c r="I18" s="1">
        <f t="shared" si="8"/>
        <v>8.31</v>
      </c>
      <c r="J18" s="1">
        <f t="shared" si="11"/>
        <v>4.13</v>
      </c>
      <c r="K18" s="180">
        <f t="shared" si="9"/>
        <v>3.5283333333333329</v>
      </c>
      <c r="L18" s="135"/>
      <c r="M18" s="114">
        <f t="shared" si="10"/>
        <v>0.20760000000000001</v>
      </c>
      <c r="N18" s="114">
        <f t="shared" si="10"/>
        <v>0.12889999999999999</v>
      </c>
      <c r="O18" s="114">
        <f t="shared" si="6"/>
        <v>3.61E-2</v>
      </c>
      <c r="P18" s="114">
        <f t="shared" si="6"/>
        <v>0.31319999999999998</v>
      </c>
      <c r="Q18" s="114">
        <f t="shared" si="6"/>
        <v>6.0199999999999997E-2</v>
      </c>
      <c r="R18" s="154">
        <f t="shared" si="6"/>
        <v>0.25390000000000001</v>
      </c>
      <c r="S18" s="185">
        <f t="shared" si="6"/>
        <v>0.377832</v>
      </c>
      <c r="T18" s="140">
        <f t="shared" si="7"/>
        <v>0.22944199999999998</v>
      </c>
      <c r="U18" s="140">
        <f t="shared" si="7"/>
        <v>3.3933999999999999E-2</v>
      </c>
      <c r="V18" s="140">
        <f t="shared" si="7"/>
        <v>1.312308</v>
      </c>
      <c r="W18" s="140">
        <f t="shared" si="7"/>
        <v>0.50026199999999998</v>
      </c>
      <c r="X18" s="186">
        <f t="shared" si="7"/>
        <v>1.0486070000000001</v>
      </c>
      <c r="Y18" s="78">
        <f>'Interventions cost'!D17/'National data'!Q19</f>
        <v>4202099.0502092075</v>
      </c>
      <c r="Z18" s="118">
        <f>'Interventions cost'!E17/'National data'!Q19</f>
        <v>9701700.8968574442</v>
      </c>
      <c r="AA18" s="118">
        <f>'Interventions cost'!F17/'National data'!Q19</f>
        <v>600564.34980871365</v>
      </c>
      <c r="AB18" s="178">
        <f>'Interventions cost'!G17/'National data'!$Q19</f>
        <v>7232894.8924965728</v>
      </c>
      <c r="AC18" s="247">
        <f>'Interventions cost'!H17/'National data'!$Q19</f>
        <v>790778.62140003615</v>
      </c>
      <c r="AD18" s="234">
        <f>'Interventions cost'!I17/'National data'!$Q19</f>
        <v>1825729.8480554542</v>
      </c>
      <c r="AE18" s="234">
        <f>'Interventions cost'!J17/'National data'!$Q19</f>
        <v>113018.1471043857</v>
      </c>
      <c r="AF18" s="235">
        <f>'Interventions cost'!K17/'National data'!$Q19</f>
        <v>1361133.705673845</v>
      </c>
      <c r="AG18" s="247">
        <f>'Interventions cost'!L17/'National data'!$Q19</f>
        <v>932139.86091426795</v>
      </c>
      <c r="AH18" s="234">
        <f>'Interventions cost'!M17/'National data'!$Q19</f>
        <v>2152101.1324514798</v>
      </c>
      <c r="AI18" s="234">
        <f>'Interventions cost'!N17/'National data'!$Q19</f>
        <v>133221.50734949743</v>
      </c>
      <c r="AJ18" s="235">
        <f>'Interventions cost'!O17/'National data'!$Q19</f>
        <v>1604452.8124018421</v>
      </c>
      <c r="AK18" s="247">
        <f>'Interventions cost'!P17/'National data'!$Q19</f>
        <v>2550435.137828772</v>
      </c>
      <c r="AL18" s="234">
        <f>'Interventions cost'!Q17/'National data'!$Q19</f>
        <v>5888380.6803217167</v>
      </c>
      <c r="AM18" s="234">
        <f>'Interventions cost'!R17/'National data'!$Q19</f>
        <v>364508.40448493836</v>
      </c>
      <c r="AN18" s="235">
        <f>'Interventions cost'!S17/'National data'!$Q19</f>
        <v>4389955.8438840481</v>
      </c>
      <c r="AO18" s="247">
        <f>'Interventions cost'!T17/'National data'!$Q19</f>
        <v>94629.927743634777</v>
      </c>
      <c r="AP18" s="234">
        <f>'Interventions cost'!U17/'National data'!$Q19</f>
        <v>218479.20381940287</v>
      </c>
      <c r="AQ18" s="234">
        <f>'Interventions cost'!V17/'National data'!$Q19</f>
        <v>13524.517235016659</v>
      </c>
      <c r="AR18" s="235">
        <f>'Interventions cost'!W17/'National data'!$Q19</f>
        <v>162882.48155887221</v>
      </c>
      <c r="AS18" s="118">
        <f>'Interventions cost'!AR17/'National data'!$Q19</f>
        <v>1170395.0010607848</v>
      </c>
      <c r="AT18" s="118">
        <f>'Interventions cost'!AS17/'National data'!$Q19</f>
        <v>2702178.6244909121</v>
      </c>
      <c r="AU18" s="118">
        <f>'Interventions cost'!AT17/'National data'!$Q19</f>
        <v>167272.952025356</v>
      </c>
      <c r="AV18" s="178">
        <f>'Interventions cost'!AU17/'National data'!$Q19</f>
        <v>2014551.2812113774</v>
      </c>
      <c r="AW18" s="234">
        <f>'Interventions cost'!AV17/'National data'!$Q19</f>
        <v>563248.16949183634</v>
      </c>
      <c r="AX18" s="234">
        <f>'Interventions cost'!AW17/'National data'!$Q19</f>
        <v>1300413.2472413296</v>
      </c>
      <c r="AY18" s="234">
        <f>'Interventions cost'!AX17/'National data'!$Q19</f>
        <v>80499.475773892511</v>
      </c>
      <c r="AZ18" s="235">
        <f>'Interventions cost'!AY17/'National data'!$Q19</f>
        <v>969495.18791631574</v>
      </c>
      <c r="BA18" s="234">
        <f>'Interventions cost'!AZ17/'National data'!$Q19</f>
        <v>212609.9224570973</v>
      </c>
      <c r="BB18" s="234">
        <f>'Interventions cost'!BA17/'National data'!$Q19</f>
        <v>490868.45663005469</v>
      </c>
      <c r="BC18" s="234">
        <f>'Interventions cost'!BB17/'National data'!$Q19</f>
        <v>30386.228005970162</v>
      </c>
      <c r="BD18" s="235">
        <f>'Interventions cost'!BC17/'National data'!$Q19</f>
        <v>365956.44316320203</v>
      </c>
      <c r="BE18" s="234">
        <f>'Interventions cost'!BD17/'National data'!$Q19</f>
        <v>348374.19811354147</v>
      </c>
      <c r="BF18" s="234">
        <f>'Interventions cost'!BE17/'National data'!$Q19</f>
        <v>804317.61124523438</v>
      </c>
      <c r="BG18" s="234">
        <f>'Interventions cost'!BF17/'National data'!$Q19</f>
        <v>49789.669705614062</v>
      </c>
      <c r="BH18" s="235">
        <f>'Interventions cost'!BG17/'National data'!$Q19</f>
        <v>599641.73335884919</v>
      </c>
      <c r="BI18" s="234">
        <f>'Interventions cost'!BH17/'National data'!$Q19</f>
        <v>13608.08277755169</v>
      </c>
      <c r="BJ18" s="234">
        <f>'Interventions cost'!BI17/'National data'!$Q19</f>
        <v>31418.000220844544</v>
      </c>
      <c r="BK18" s="234">
        <f>'Interventions cost'!BJ17/'National data'!$Q19</f>
        <v>1944.8683355135579</v>
      </c>
      <c r="BL18" s="234">
        <f>'Interventions cost'!BK17/'National data'!$Q19</f>
        <v>23423.015793386377</v>
      </c>
      <c r="BM18" s="247">
        <f>'Interventions cost'!CF17/'National data'!$Q19</f>
        <v>884345.64310949494</v>
      </c>
      <c r="BN18" s="234">
        <f>'Interventions cost'!CG17/'National data'!$Q19</f>
        <v>2041755.0410812446</v>
      </c>
      <c r="BO18" s="234">
        <f>'Interventions cost'!CH17/'National data'!$Q19</f>
        <v>126390.75371956802</v>
      </c>
      <c r="BP18" s="235">
        <f>'Interventions cost'!CI17/'National data'!$Q19</f>
        <v>1522186.6521518121</v>
      </c>
      <c r="BQ18" s="26"/>
      <c r="BR18" s="26"/>
      <c r="BS18" s="26"/>
      <c r="BT18" s="26"/>
      <c r="BU18" s="26"/>
      <c r="BV18" s="26"/>
    </row>
    <row r="19" spans="1:74">
      <c r="A19" s="9">
        <v>17</v>
      </c>
      <c r="B19" s="1" t="s">
        <v>393</v>
      </c>
      <c r="C19" s="1" t="s">
        <v>394</v>
      </c>
      <c r="D19" s="135"/>
      <c r="E19" s="1">
        <f t="shared" si="8"/>
        <v>1.82</v>
      </c>
      <c r="F19" s="1">
        <f t="shared" si="8"/>
        <v>1.78</v>
      </c>
      <c r="G19" s="1">
        <f t="shared" si="8"/>
        <v>0.94</v>
      </c>
      <c r="H19" s="1">
        <f t="shared" si="8"/>
        <v>4.1900000000000004</v>
      </c>
      <c r="I19" s="1">
        <f t="shared" si="8"/>
        <v>8.31</v>
      </c>
      <c r="J19" s="1">
        <f t="shared" si="11"/>
        <v>4.13</v>
      </c>
      <c r="K19" s="180">
        <f t="shared" si="9"/>
        <v>3.5283333333333329</v>
      </c>
      <c r="L19" s="135"/>
      <c r="M19" s="114">
        <f t="shared" si="10"/>
        <v>0.20760000000000001</v>
      </c>
      <c r="N19" s="114">
        <f t="shared" si="10"/>
        <v>0.12889999999999999</v>
      </c>
      <c r="O19" s="114">
        <f t="shared" si="10"/>
        <v>3.61E-2</v>
      </c>
      <c r="P19" s="114">
        <f t="shared" si="10"/>
        <v>0.31319999999999998</v>
      </c>
      <c r="Q19" s="114">
        <f t="shared" si="10"/>
        <v>6.0199999999999997E-2</v>
      </c>
      <c r="R19" s="154">
        <f t="shared" si="10"/>
        <v>0.25390000000000001</v>
      </c>
      <c r="S19" s="185">
        <f t="shared" ref="S19:X52" si="12">S$2</f>
        <v>0.377832</v>
      </c>
      <c r="T19" s="140">
        <f t="shared" si="12"/>
        <v>0.22944199999999998</v>
      </c>
      <c r="U19" s="140">
        <f t="shared" si="12"/>
        <v>3.3933999999999999E-2</v>
      </c>
      <c r="V19" s="140">
        <f t="shared" si="12"/>
        <v>1.312308</v>
      </c>
      <c r="W19" s="140">
        <f t="shared" si="12"/>
        <v>0.50026199999999998</v>
      </c>
      <c r="X19" s="186">
        <f t="shared" si="12"/>
        <v>1.0486070000000001</v>
      </c>
      <c r="Y19" s="78">
        <f>'Interventions cost'!D18/'National data'!Q20</f>
        <v>8201580.8793712081</v>
      </c>
      <c r="Z19" s="118">
        <f>'Interventions cost'!E18/'National data'!Q20</f>
        <v>18935604.23547918</v>
      </c>
      <c r="AA19" s="118">
        <f>'Interventions cost'!F18/'National data'!Q20</f>
        <v>1172170.6293377164</v>
      </c>
      <c r="AB19" s="178">
        <f>'Interventions cost'!G18/'National data'!$Q20</f>
        <v>14117033.354996277</v>
      </c>
      <c r="AC19" s="247">
        <f>'Interventions cost'!H18/'National data'!$Q20</f>
        <v>2211993.5020816554</v>
      </c>
      <c r="AD19" s="234">
        <f>'Interventions cost'!I18/'National data'!$Q20</f>
        <v>5106995.1199555872</v>
      </c>
      <c r="AE19" s="234">
        <f>'Interventions cost'!J18/'National data'!$Q20</f>
        <v>316138.29742843163</v>
      </c>
      <c r="AF19" s="235">
        <f>'Interventions cost'!K18/'National data'!$Q20</f>
        <v>3807410.6089063925</v>
      </c>
      <c r="AG19" s="247">
        <f>'Interventions cost'!L18/'National data'!$Q20</f>
        <v>1694414.6849996091</v>
      </c>
      <c r="AH19" s="234">
        <f>'Interventions cost'!M18/'National data'!$Q20</f>
        <v>3912022.1281530005</v>
      </c>
      <c r="AI19" s="234">
        <f>'Interventions cost'!N18/'National data'!$Q20</f>
        <v>242165.88934343745</v>
      </c>
      <c r="AJ19" s="235">
        <f>'Interventions cost'!O18/'National data'!$Q20</f>
        <v>2916524.1405470208</v>
      </c>
      <c r="AK19" s="247">
        <f>'Interventions cost'!P18/'National data'!$Q20</f>
        <v>3433932.3279849691</v>
      </c>
      <c r="AL19" s="234">
        <f>'Interventions cost'!Q18/'National data'!$Q20</f>
        <v>7928176.8345039142</v>
      </c>
      <c r="AM19" s="234">
        <f>'Interventions cost'!R18/'National data'!$Q20</f>
        <v>490777.89723703469</v>
      </c>
      <c r="AN19" s="235">
        <f>'Interventions cost'!S18/'National data'!$Q20</f>
        <v>5910682.0899485433</v>
      </c>
      <c r="AO19" s="247">
        <f>'Interventions cost'!T18/'National data'!$Q20</f>
        <v>96194.549254938582</v>
      </c>
      <c r="AP19" s="234">
        <f>'Interventions cost'!U18/'National data'!$Q20</f>
        <v>222091.56272338986</v>
      </c>
      <c r="AQ19" s="234">
        <f>'Interventions cost'!V18/'National data'!$Q20</f>
        <v>13748.133073055064</v>
      </c>
      <c r="AR19" s="235">
        <f>'Interventions cost'!W18/'National data'!$Q20</f>
        <v>165575.5982138059</v>
      </c>
      <c r="AS19" s="118">
        <f>'Interventions cost'!AR18/'National data'!$Q20</f>
        <v>2906791.4745979034</v>
      </c>
      <c r="AT19" s="118">
        <f>'Interventions cost'!AS18/'National data'!$Q20</f>
        <v>6711127.2530998597</v>
      </c>
      <c r="AU19" s="118">
        <f>'Interventions cost'!AT18/'National data'!$Q20</f>
        <v>415438.88211880409</v>
      </c>
      <c r="AV19" s="178">
        <f>'Interventions cost'!AU18/'National data'!$Q20</f>
        <v>5003336.8940042043</v>
      </c>
      <c r="AW19" s="234">
        <f>'Interventions cost'!AV18/'National data'!$Q20</f>
        <v>2145877.01552109</v>
      </c>
      <c r="AX19" s="234">
        <f>'Interventions cost'!AW18/'National data'!$Q20</f>
        <v>4954347.0340115493</v>
      </c>
      <c r="AY19" s="234">
        <f>'Interventions cost'!AX18/'National data'!$Q20</f>
        <v>306688.92360634025</v>
      </c>
      <c r="AZ19" s="235">
        <f>'Interventions cost'!AY18/'National data'!$Q20</f>
        <v>3693607.1044578427</v>
      </c>
      <c r="BA19" s="234">
        <f>'Interventions cost'!AZ18/'National data'!$Q20</f>
        <v>441236.88624880399</v>
      </c>
      <c r="BB19" s="234">
        <f>'Interventions cost'!BA18/'National data'!$Q20</f>
        <v>1018716.6565798785</v>
      </c>
      <c r="BC19" s="234">
        <f>'Interventions cost'!BB18/'National data'!$Q20</f>
        <v>63061.612907111579</v>
      </c>
      <c r="BD19" s="235">
        <f>'Interventions cost'!BC18/'National data'!$Q20</f>
        <v>759482.34032493259</v>
      </c>
      <c r="BE19" s="234">
        <f>'Interventions cost'!BD18/'National data'!$Q20</f>
        <v>395120.3022938855</v>
      </c>
      <c r="BF19" s="234">
        <f>'Interventions cost'!BE18/'National data'!$Q20</f>
        <v>912243.8441664828</v>
      </c>
      <c r="BG19" s="234">
        <f>'Interventions cost'!BF18/'National data'!$Q20</f>
        <v>56470.626848154781</v>
      </c>
      <c r="BH19" s="235">
        <f>'Interventions cost'!BG18/'National data'!$Q20</f>
        <v>680103.8200755557</v>
      </c>
      <c r="BI19" s="234">
        <f>'Interventions cost'!BH18/'National data'!$Q20</f>
        <v>23226.75222522868</v>
      </c>
      <c r="BJ19" s="234">
        <f>'Interventions cost'!BI18/'National data'!$Q20</f>
        <v>53625.34300170005</v>
      </c>
      <c r="BK19" s="234">
        <f>'Interventions cost'!BJ18/'National data'!$Q20</f>
        <v>3319.5693822633898</v>
      </c>
      <c r="BL19" s="234">
        <f>'Interventions cost'!BK18/'National data'!$Q20</f>
        <v>39979.22360511135</v>
      </c>
      <c r="BM19" s="247">
        <f>'Interventions cost'!CF18/'National data'!$Q20</f>
        <v>1868519.9729687704</v>
      </c>
      <c r="BN19" s="234">
        <f>'Interventions cost'!CG18/'National data'!$Q20</f>
        <v>4313992.0503883995</v>
      </c>
      <c r="BO19" s="234">
        <f>'Interventions cost'!CH18/'National data'!$Q20</f>
        <v>267049.03174872004</v>
      </c>
      <c r="BP19" s="235">
        <f>'Interventions cost'!CI18/'National data'!$Q20</f>
        <v>3216204.1892707879</v>
      </c>
      <c r="BQ19" s="26"/>
      <c r="BR19" s="26"/>
      <c r="BS19" s="26"/>
      <c r="BT19" s="26"/>
      <c r="BU19" s="26"/>
      <c r="BV19" s="26"/>
    </row>
    <row r="20" spans="1:74">
      <c r="A20" s="9">
        <v>18</v>
      </c>
      <c r="B20" s="1" t="s">
        <v>398</v>
      </c>
      <c r="C20" s="1" t="s">
        <v>399</v>
      </c>
      <c r="D20" s="135"/>
      <c r="E20" s="1">
        <f t="shared" si="8"/>
        <v>1.82</v>
      </c>
      <c r="F20" s="1">
        <f t="shared" si="8"/>
        <v>1.78</v>
      </c>
      <c r="G20" s="1">
        <f t="shared" si="8"/>
        <v>0.94</v>
      </c>
      <c r="H20" s="1">
        <f t="shared" si="8"/>
        <v>4.1900000000000004</v>
      </c>
      <c r="I20" s="1">
        <f t="shared" si="8"/>
        <v>8.31</v>
      </c>
      <c r="J20" s="1">
        <f t="shared" si="11"/>
        <v>4.13</v>
      </c>
      <c r="K20" s="180">
        <f t="shared" si="9"/>
        <v>3.5283333333333329</v>
      </c>
      <c r="L20" s="135"/>
      <c r="M20" s="114">
        <f t="shared" si="10"/>
        <v>0.20760000000000001</v>
      </c>
      <c r="N20" s="114">
        <f t="shared" si="10"/>
        <v>0.12889999999999999</v>
      </c>
      <c r="O20" s="114">
        <f t="shared" si="10"/>
        <v>3.61E-2</v>
      </c>
      <c r="P20" s="114">
        <f t="shared" si="10"/>
        <v>0.31319999999999998</v>
      </c>
      <c r="Q20" s="114">
        <f t="shared" si="10"/>
        <v>6.0199999999999997E-2</v>
      </c>
      <c r="R20" s="154">
        <f t="shared" si="10"/>
        <v>0.25390000000000001</v>
      </c>
      <c r="S20" s="185">
        <f t="shared" si="12"/>
        <v>0.377832</v>
      </c>
      <c r="T20" s="140">
        <f t="shared" si="12"/>
        <v>0.22944199999999998</v>
      </c>
      <c r="U20" s="140">
        <f t="shared" si="12"/>
        <v>3.3933999999999999E-2</v>
      </c>
      <c r="V20" s="140">
        <f t="shared" si="12"/>
        <v>1.312308</v>
      </c>
      <c r="W20" s="140">
        <f t="shared" si="12"/>
        <v>0.50026199999999998</v>
      </c>
      <c r="X20" s="186">
        <f t="shared" si="12"/>
        <v>1.0486070000000001</v>
      </c>
      <c r="Y20" s="78">
        <f>'Interventions cost'!D19/'National data'!Q21</f>
        <v>7144114.6717594657</v>
      </c>
      <c r="Z20" s="118">
        <f>'Interventions cost'!E19/'National data'!Q21</f>
        <v>16494152.777005706</v>
      </c>
      <c r="AA20" s="118">
        <f>'Interventions cost'!F19/'National data'!Q21</f>
        <v>1021037.4699736092</v>
      </c>
      <c r="AB20" s="178">
        <f>'Interventions cost'!G19/'National data'!$Q21</f>
        <v>12296861.616864141</v>
      </c>
      <c r="AC20" s="247">
        <f>'Interventions cost'!H19/'National data'!$Q21</f>
        <v>2521565.9754142165</v>
      </c>
      <c r="AD20" s="234">
        <f>'Interventions cost'!I19/'National data'!$Q21</f>
        <v>5821728.2821887266</v>
      </c>
      <c r="AE20" s="234">
        <f>'Interventions cost'!J19/'National data'!$Q21</f>
        <v>360382.42136367998</v>
      </c>
      <c r="AF20" s="235">
        <f>'Interventions cost'!K19/'National data'!$Q21</f>
        <v>4340264.5789033966</v>
      </c>
      <c r="AG20" s="247">
        <f>'Interventions cost'!L19/'National data'!$Q21</f>
        <v>1190647.3601131088</v>
      </c>
      <c r="AH20" s="234">
        <f>'Interventions cost'!M19/'National data'!$Q21</f>
        <v>2748936.7631339389</v>
      </c>
      <c r="AI20" s="234">
        <f>'Interventions cost'!N19/'National data'!$Q21</f>
        <v>170167.4208850908</v>
      </c>
      <c r="AJ20" s="235">
        <f>'Interventions cost'!O19/'National data'!$Q21</f>
        <v>2049410.8079860422</v>
      </c>
      <c r="AK20" s="247">
        <f>'Interventions cost'!P19/'National data'!$Q21</f>
        <v>3430038.454797667</v>
      </c>
      <c r="AL20" s="234">
        <f>'Interventions cost'!Q19/'National data'!$Q21</f>
        <v>7919186.7577489158</v>
      </c>
      <c r="AM20" s="234">
        <f>'Interventions cost'!R19/'National data'!$Q21</f>
        <v>490221.38455348596</v>
      </c>
      <c r="AN20" s="235">
        <f>'Interventions cost'!S19/'National data'!$Q21</f>
        <v>5903979.7311626254</v>
      </c>
      <c r="AO20" s="247">
        <f>'Interventions cost'!T19/'National data'!$Q21</f>
        <v>83335.450689606805</v>
      </c>
      <c r="AP20" s="234">
        <f>'Interventions cost'!U19/'National data'!$Q21</f>
        <v>192402.79846690554</v>
      </c>
      <c r="AQ20" s="234">
        <f>'Interventions cost'!V19/'National data'!$Q21</f>
        <v>11910.309624169398</v>
      </c>
      <c r="AR20" s="235">
        <f>'Interventions cost'!W19/'National data'!$Q21</f>
        <v>143441.77718198908</v>
      </c>
      <c r="AS20" s="118">
        <f>'Interventions cost'!AR19/'National data'!$Q21</f>
        <v>2785553.2005703086</v>
      </c>
      <c r="AT20" s="118">
        <f>'Interventions cost'!AS19/'National data'!$Q21</f>
        <v>6431215.3667276436</v>
      </c>
      <c r="AU20" s="118">
        <f>'Interventions cost'!AT19/'National data'!$Q21</f>
        <v>398111.49779413233</v>
      </c>
      <c r="AV20" s="178">
        <f>'Interventions cost'!AU19/'National data'!$Q21</f>
        <v>4794654.5943935793</v>
      </c>
      <c r="AW20" s="234">
        <f>'Interventions cost'!AV19/'National data'!$Q21</f>
        <v>2039813.9537033013</v>
      </c>
      <c r="AX20" s="234">
        <f>'Interventions cost'!AW19/'National data'!$Q21</f>
        <v>4709471.2969891541</v>
      </c>
      <c r="AY20" s="234">
        <f>'Interventions cost'!AX19/'National data'!$Q21</f>
        <v>291530.38188749366</v>
      </c>
      <c r="AZ20" s="235">
        <f>'Interventions cost'!AY19/'National data'!$Q21</f>
        <v>3511045.2540735113</v>
      </c>
      <c r="BA20" s="234">
        <f>'Interventions cost'!AZ19/'National data'!$Q21</f>
        <v>536981.95941101166</v>
      </c>
      <c r="BB20" s="234">
        <f>'Interventions cost'!BA19/'National data'!$Q21</f>
        <v>1239770.4801734053</v>
      </c>
      <c r="BC20" s="234">
        <f>'Interventions cost'!BB19/'National data'!$Q21</f>
        <v>76745.506819175906</v>
      </c>
      <c r="BD20" s="235">
        <f>'Interventions cost'!BC19/'National data'!$Q21</f>
        <v>924284.27440170443</v>
      </c>
      <c r="BE20" s="234">
        <f>'Interventions cost'!BD19/'National data'!$Q21</f>
        <v>373945.93780099822</v>
      </c>
      <c r="BF20" s="234">
        <f>'Interventions cost'!BE19/'National data'!$Q21</f>
        <v>863357.00248653616</v>
      </c>
      <c r="BG20" s="234">
        <f>'Interventions cost'!BF19/'National data'!$Q21</f>
        <v>53444.384893279755</v>
      </c>
      <c r="BH20" s="235">
        <f>'Interventions cost'!BG19/'National data'!$Q21</f>
        <v>643657.28443645872</v>
      </c>
      <c r="BI20" s="234">
        <f>'Interventions cost'!BH19/'National data'!$Q21</f>
        <v>19515.994847106133</v>
      </c>
      <c r="BJ20" s="234">
        <f>'Interventions cost'!BI19/'National data'!$Q21</f>
        <v>45058.039434317558</v>
      </c>
      <c r="BK20" s="234">
        <f>'Interventions cost'!BJ19/'National data'!$Q21</f>
        <v>2789.2276255694096</v>
      </c>
      <c r="BL20" s="234">
        <f>'Interventions cost'!BK19/'National data'!$Q21</f>
        <v>33592.054295958507</v>
      </c>
      <c r="BM20" s="247">
        <f>'Interventions cost'!CF19/'National data'!$Q21</f>
        <v>2091850.0239508355</v>
      </c>
      <c r="BN20" s="234">
        <f>'Interventions cost'!CG19/'National data'!$Q21</f>
        <v>4829610.8708919408</v>
      </c>
      <c r="BO20" s="234">
        <f>'Interventions cost'!CH19/'National data'!$Q21</f>
        <v>298967.38142544008</v>
      </c>
      <c r="BP20" s="235">
        <f>'Interventions cost'!CI19/'National data'!$Q21</f>
        <v>3600612.7350447751</v>
      </c>
      <c r="BQ20" s="26"/>
      <c r="BR20" s="26"/>
      <c r="BS20" s="26"/>
      <c r="BT20" s="26"/>
      <c r="BU20" s="26"/>
      <c r="BV20" s="26"/>
    </row>
    <row r="21" spans="1:74">
      <c r="A21" s="9">
        <v>19</v>
      </c>
      <c r="B21" s="1" t="s">
        <v>403</v>
      </c>
      <c r="C21" s="1" t="s">
        <v>404</v>
      </c>
      <c r="D21" s="135"/>
      <c r="E21" s="1">
        <f t="shared" si="8"/>
        <v>1.82</v>
      </c>
      <c r="F21" s="1">
        <f t="shared" si="8"/>
        <v>1.78</v>
      </c>
      <c r="G21" s="1">
        <f t="shared" si="8"/>
        <v>0.94</v>
      </c>
      <c r="H21" s="1">
        <f t="shared" si="8"/>
        <v>4.1900000000000004</v>
      </c>
      <c r="I21" s="1">
        <f t="shared" si="8"/>
        <v>8.31</v>
      </c>
      <c r="J21" s="1">
        <f t="shared" si="11"/>
        <v>4.13</v>
      </c>
      <c r="K21" s="180">
        <f t="shared" si="9"/>
        <v>3.5283333333333329</v>
      </c>
      <c r="L21" s="135"/>
      <c r="M21" s="114">
        <f t="shared" si="10"/>
        <v>0.20760000000000001</v>
      </c>
      <c r="N21" s="114">
        <f t="shared" si="10"/>
        <v>0.12889999999999999</v>
      </c>
      <c r="O21" s="114">
        <f t="shared" si="10"/>
        <v>3.61E-2</v>
      </c>
      <c r="P21" s="114">
        <f t="shared" si="10"/>
        <v>0.31319999999999998</v>
      </c>
      <c r="Q21" s="114">
        <f t="shared" si="10"/>
        <v>6.0199999999999997E-2</v>
      </c>
      <c r="R21" s="154">
        <f t="shared" si="10"/>
        <v>0.25390000000000001</v>
      </c>
      <c r="S21" s="185">
        <f t="shared" si="12"/>
        <v>0.377832</v>
      </c>
      <c r="T21" s="140">
        <f t="shared" si="12"/>
        <v>0.22944199999999998</v>
      </c>
      <c r="U21" s="140">
        <f t="shared" si="12"/>
        <v>3.3933999999999999E-2</v>
      </c>
      <c r="V21" s="140">
        <f t="shared" si="12"/>
        <v>1.312308</v>
      </c>
      <c r="W21" s="140">
        <f t="shared" si="12"/>
        <v>0.50026199999999998</v>
      </c>
      <c r="X21" s="186">
        <f t="shared" si="12"/>
        <v>1.0486070000000001</v>
      </c>
      <c r="Y21" s="78">
        <f>'Interventions cost'!D20/'National data'!Q22</f>
        <v>4510913.8386079865</v>
      </c>
      <c r="Z21" s="118">
        <f>'Interventions cost'!E20/'National data'!Q22</f>
        <v>10414684.735118493</v>
      </c>
      <c r="AA21" s="118">
        <f>'Interventions cost'!F20/'National data'!Q22</f>
        <v>644700.18534947629</v>
      </c>
      <c r="AB21" s="178">
        <f>'Interventions cost'!G20/'National data'!$Q22</f>
        <v>7764444.6915489603</v>
      </c>
      <c r="AC21" s="247">
        <f>'Interventions cost'!H20/'National data'!$Q22</f>
        <v>726540.00882403331</v>
      </c>
      <c r="AD21" s="234">
        <f>'Interventions cost'!I20/'National data'!$Q22</f>
        <v>1677417.3504691683</v>
      </c>
      <c r="AE21" s="234">
        <f>'Interventions cost'!J20/'National data'!$Q22</f>
        <v>103837.15919016689</v>
      </c>
      <c r="AF21" s="235">
        <f>'Interventions cost'!K20/'National data'!$Q22</f>
        <v>1250562.5060780365</v>
      </c>
      <c r="AG21" s="247">
        <f>'Interventions cost'!L20/'National data'!$Q22</f>
        <v>681563.54984302062</v>
      </c>
      <c r="AH21" s="234">
        <f>'Interventions cost'!M20/'National data'!$Q22</f>
        <v>1573576.8300007521</v>
      </c>
      <c r="AI21" s="234">
        <f>'Interventions cost'!N20/'National data'!$Q22</f>
        <v>97409.119888407615</v>
      </c>
      <c r="AJ21" s="235">
        <f>'Interventions cost'!O20/'National data'!$Q22</f>
        <v>1173146.434595821</v>
      </c>
      <c r="AK21" s="247">
        <f>'Interventions cost'!P20/'National data'!$Q22</f>
        <v>1994159.695222094</v>
      </c>
      <c r="AL21" s="234">
        <f>'Interventions cost'!Q20/'National data'!$Q22</f>
        <v>4604065.8900341587</v>
      </c>
      <c r="AM21" s="234">
        <f>'Interventions cost'!R20/'National data'!$Q22</f>
        <v>285005.47142413835</v>
      </c>
      <c r="AN21" s="235">
        <f>'Interventions cost'!S20/'National data'!$Q22</f>
        <v>3432462.5150557323</v>
      </c>
      <c r="AO21" s="247">
        <f>'Interventions cost'!T20/'National data'!$Q22</f>
        <v>8609.3370682416917</v>
      </c>
      <c r="AP21" s="234">
        <f>'Interventions cost'!U20/'National data'!$Q22</f>
        <v>19877.021497660808</v>
      </c>
      <c r="AQ21" s="234">
        <f>'Interventions cost'!V20/'National data'!$Q22</f>
        <v>1230.4471781585469</v>
      </c>
      <c r="AR21" s="235">
        <f>'Interventions cost'!W20/'National data'!$Q22</f>
        <v>14818.886790773418</v>
      </c>
      <c r="AS21" s="118">
        <f>'Interventions cost'!AR20/'National data'!$Q22</f>
        <v>1218149.102610064</v>
      </c>
      <c r="AT21" s="118">
        <f>'Interventions cost'!AS20/'National data'!$Q22</f>
        <v>2812432.0964565943</v>
      </c>
      <c r="AU21" s="118">
        <f>'Interventions cost'!AT20/'National data'!$Q22</f>
        <v>174097.97223667504</v>
      </c>
      <c r="AV21" s="178">
        <f>'Interventions cost'!AU20/'National data'!$Q22</f>
        <v>2096748.3910520764</v>
      </c>
      <c r="AW21" s="234">
        <f>'Interventions cost'!AV20/'National data'!$Q22</f>
        <v>964222.05190115271</v>
      </c>
      <c r="AX21" s="234">
        <f>'Interventions cost'!AW20/'National data'!$Q22</f>
        <v>2226171.6903682719</v>
      </c>
      <c r="AY21" s="234">
        <f>'Interventions cost'!AX20/'National data'!$Q22</f>
        <v>137806.69678464843</v>
      </c>
      <c r="AZ21" s="235">
        <f>'Interventions cost'!AY20/'National data'!$Q22</f>
        <v>1659674.5272059203</v>
      </c>
      <c r="BA21" s="234">
        <f>'Interventions cost'!AZ20/'National data'!$Q22</f>
        <v>397156.98567335942</v>
      </c>
      <c r="BB21" s="234">
        <f>'Interventions cost'!BA20/'National data'!$Q22</f>
        <v>916946.08767220692</v>
      </c>
      <c r="BC21" s="234">
        <f>'Interventions cost'!BB20/'National data'!$Q22</f>
        <v>56761.70980810999</v>
      </c>
      <c r="BD21" s="235">
        <f>'Interventions cost'!BC20/'National data'!$Q22</f>
        <v>683609.47680496948</v>
      </c>
      <c r="BE21" s="234">
        <f>'Interventions cost'!BD20/'National data'!$Q22</f>
        <v>265666.49915915064</v>
      </c>
      <c r="BF21" s="234">
        <f>'Interventions cost'!BE20/'National data'!$Q22</f>
        <v>613364.15024033969</v>
      </c>
      <c r="BG21" s="234">
        <f>'Interventions cost'!BF20/'National data'!$Q22</f>
        <v>37969.078412259005</v>
      </c>
      <c r="BH21" s="235">
        <f>'Interventions cost'!BG20/'National data'!$Q22</f>
        <v>457280.47861699009</v>
      </c>
      <c r="BI21" s="234">
        <f>'Interventions cost'!BH20/'National data'!$Q22</f>
        <v>14026.756081630248</v>
      </c>
      <c r="BJ21" s="234">
        <f>'Interventions cost'!BI20/'National data'!$Q22</f>
        <v>32384.622644813109</v>
      </c>
      <c r="BK21" s="234">
        <f>'Interventions cost'!BJ20/'National data'!$Q22</f>
        <v>2004.7051593584617</v>
      </c>
      <c r="BL21" s="234">
        <f>'Interventions cost'!BK20/'National data'!$Q22</f>
        <v>24143.66039659813</v>
      </c>
      <c r="BM21" s="247">
        <f>'Interventions cost'!CF20/'National data'!$Q22</f>
        <v>860216.26206848153</v>
      </c>
      <c r="BN21" s="234">
        <f>'Interventions cost'!CG20/'National data'!$Q22</f>
        <v>1986045.7313079399</v>
      </c>
      <c r="BO21" s="234">
        <f>'Interventions cost'!CH20/'National data'!$Q22</f>
        <v>122942.18055100799</v>
      </c>
      <c r="BP21" s="235">
        <f>'Interventions cost'!CI20/'National data'!$Q22</f>
        <v>1480653.7718447759</v>
      </c>
      <c r="BQ21" s="26"/>
      <c r="BR21" s="26"/>
      <c r="BS21" s="26"/>
      <c r="BT21" s="26"/>
      <c r="BU21" s="26"/>
      <c r="BV21" s="26"/>
    </row>
    <row r="22" spans="1:74">
      <c r="A22" s="9">
        <v>20</v>
      </c>
      <c r="B22" s="1" t="s">
        <v>408</v>
      </c>
      <c r="C22" s="1" t="s">
        <v>409</v>
      </c>
      <c r="D22" s="135"/>
      <c r="E22" s="1">
        <f t="shared" si="8"/>
        <v>1.82</v>
      </c>
      <c r="F22" s="1">
        <f t="shared" si="8"/>
        <v>1.78</v>
      </c>
      <c r="G22" s="1">
        <f t="shared" si="8"/>
        <v>0.94</v>
      </c>
      <c r="H22" s="1">
        <f t="shared" si="8"/>
        <v>4.1900000000000004</v>
      </c>
      <c r="I22" s="1">
        <f t="shared" si="8"/>
        <v>8.31</v>
      </c>
      <c r="J22" s="1">
        <f t="shared" si="11"/>
        <v>4.13</v>
      </c>
      <c r="K22" s="180">
        <f t="shared" si="9"/>
        <v>3.5283333333333329</v>
      </c>
      <c r="L22" s="135"/>
      <c r="M22" s="114">
        <f t="shared" si="10"/>
        <v>0.20760000000000001</v>
      </c>
      <c r="N22" s="114">
        <f t="shared" si="10"/>
        <v>0.12889999999999999</v>
      </c>
      <c r="O22" s="114">
        <f t="shared" si="10"/>
        <v>3.61E-2</v>
      </c>
      <c r="P22" s="114">
        <f t="shared" si="10"/>
        <v>0.31319999999999998</v>
      </c>
      <c r="Q22" s="114">
        <f t="shared" si="10"/>
        <v>6.0199999999999997E-2</v>
      </c>
      <c r="R22" s="154">
        <f t="shared" si="10"/>
        <v>0.25390000000000001</v>
      </c>
      <c r="S22" s="185">
        <f t="shared" si="12"/>
        <v>0.377832</v>
      </c>
      <c r="T22" s="140">
        <f t="shared" si="12"/>
        <v>0.22944199999999998</v>
      </c>
      <c r="U22" s="140">
        <f t="shared" si="12"/>
        <v>3.3933999999999999E-2</v>
      </c>
      <c r="V22" s="140">
        <f t="shared" si="12"/>
        <v>1.312308</v>
      </c>
      <c r="W22" s="140">
        <f t="shared" si="12"/>
        <v>0.50026199999999998</v>
      </c>
      <c r="X22" s="186">
        <f t="shared" si="12"/>
        <v>1.0486070000000001</v>
      </c>
      <c r="Y22" s="78">
        <f>'Interventions cost'!D21/'National data'!Q23</f>
        <v>8016865.7850294793</v>
      </c>
      <c r="Z22" s="118">
        <f>'Interventions cost'!E21/'National data'!Q23</f>
        <v>18509138.658388834</v>
      </c>
      <c r="AA22" s="118">
        <f>'Interventions cost'!F21/'National data'!Q23</f>
        <v>1145771.1325129871</v>
      </c>
      <c r="AB22" s="178">
        <f>'Interventions cost'!G21/'National data'!$Q23</f>
        <v>13799091.096504109</v>
      </c>
      <c r="AC22" s="247">
        <f>'Interventions cost'!H21/'National data'!$Q23</f>
        <v>1709935.0438510079</v>
      </c>
      <c r="AD22" s="234">
        <f>'Interventions cost'!I21/'National data'!$Q23</f>
        <v>3947855.143412523</v>
      </c>
      <c r="AE22" s="234">
        <f>'Interventions cost'!J21/'National data'!$Q23</f>
        <v>244384.0603363188</v>
      </c>
      <c r="AF22" s="235">
        <f>'Interventions cost'!K21/'National data'!$Q23</f>
        <v>2943238.6760505107</v>
      </c>
      <c r="AG22" s="247">
        <f>'Interventions cost'!L21/'National data'!$Q23</f>
        <v>1476874.8821319917</v>
      </c>
      <c r="AH22" s="234">
        <f>'Interventions cost'!M21/'National data'!$Q23</f>
        <v>3409771.6872744407</v>
      </c>
      <c r="AI22" s="234">
        <f>'Interventions cost'!N21/'National data'!$Q23</f>
        <v>211075.08241440944</v>
      </c>
      <c r="AJ22" s="235">
        <f>'Interventions cost'!O21/'National data'!$Q23</f>
        <v>2542082.1032995726</v>
      </c>
      <c r="AK22" s="247">
        <f>'Interventions cost'!P21/'National data'!$Q23</f>
        <v>5126934.1199464798</v>
      </c>
      <c r="AL22" s="234">
        <f>'Interventions cost'!Q21/'National data'!$Q23</f>
        <v>11836936.910646457</v>
      </c>
      <c r="AM22" s="234">
        <f>'Interventions cost'!R21/'National data'!$Q23</f>
        <v>732741.85578859015</v>
      </c>
      <c r="AN22" s="235">
        <f>'Interventions cost'!S21/'National data'!$Q23</f>
        <v>8824774.2776270583</v>
      </c>
      <c r="AO22" s="247">
        <f>'Interventions cost'!T21/'National data'!$Q23</f>
        <v>153913.54503950846</v>
      </c>
      <c r="AP22" s="234">
        <f>'Interventions cost'!U21/'National data'!$Q23</f>
        <v>355351.73257611942</v>
      </c>
      <c r="AQ22" s="234">
        <f>'Interventions cost'!V21/'National data'!$Q23</f>
        <v>21997.336806900006</v>
      </c>
      <c r="AR22" s="235">
        <f>'Interventions cost'!W21/'National data'!$Q23</f>
        <v>264924.85791044775</v>
      </c>
      <c r="AS22" s="118">
        <f>'Interventions cost'!AR21/'National data'!$Q23</f>
        <v>1538246.9237282381</v>
      </c>
      <c r="AT22" s="118">
        <f>'Interventions cost'!AS21/'National data'!$Q23</f>
        <v>3551465.9176773704</v>
      </c>
      <c r="AU22" s="118">
        <f>'Interventions cost'!AT21/'National data'!$Q23</f>
        <v>219846.37976301619</v>
      </c>
      <c r="AV22" s="178">
        <f>'Interventions cost'!AU21/'National data'!$Q23</f>
        <v>2647719.1958334767</v>
      </c>
      <c r="AW22" s="234">
        <f>'Interventions cost'!AV21/'National data'!$Q23</f>
        <v>1361410.6506186128</v>
      </c>
      <c r="AX22" s="234">
        <f>'Interventions cost'!AW21/'National data'!$Q23</f>
        <v>3143190.7654438303</v>
      </c>
      <c r="AY22" s="234">
        <f>'Interventions cost'!AX21/'National data'!$Q23</f>
        <v>194572.92473168112</v>
      </c>
      <c r="AZ22" s="235">
        <f>'Interventions cost'!AY21/'National data'!$Q23</f>
        <v>2343338.4182030535</v>
      </c>
      <c r="BA22" s="234">
        <f>'Interventions cost'!AZ21/'National data'!$Q23</f>
        <v>389478.94788411818</v>
      </c>
      <c r="BB22" s="234">
        <f>'Interventions cost'!BA21/'National data'!$Q23</f>
        <v>899219.22659255727</v>
      </c>
      <c r="BC22" s="234">
        <f>'Interventions cost'!BB21/'National data'!$Q23</f>
        <v>55664.364001263108</v>
      </c>
      <c r="BD22" s="235">
        <f>'Interventions cost'!BC21/'National data'!$Q23</f>
        <v>670393.59596859699</v>
      </c>
      <c r="BE22" s="234">
        <f>'Interventions cost'!BD21/'National data'!$Q23</f>
        <v>350450.69207698811</v>
      </c>
      <c r="BF22" s="234">
        <f>'Interventions cost'!BE21/'National data'!$Q23</f>
        <v>809111.76842877024</v>
      </c>
      <c r="BG22" s="234">
        <f>'Interventions cost'!BF21/'National data'!$Q23</f>
        <v>50086.442397580235</v>
      </c>
      <c r="BH22" s="235">
        <f>'Interventions cost'!BG21/'National data'!$Q23</f>
        <v>603215.91435816803</v>
      </c>
      <c r="BI22" s="234">
        <f>'Interventions cost'!BH21/'National data'!$Q23</f>
        <v>22079.604924824529</v>
      </c>
      <c r="BJ22" s="234">
        <f>'Interventions cost'!BI21/'National data'!$Q23</f>
        <v>50976.838085423857</v>
      </c>
      <c r="BK22" s="234">
        <f>'Interventions cost'!BJ21/'National data'!$Q23</f>
        <v>3155.6189935718753</v>
      </c>
      <c r="BL22" s="234">
        <f>'Interventions cost'!BK21/'National data'!$Q23</f>
        <v>38004.687605151667</v>
      </c>
      <c r="BM22" s="247">
        <f>'Interventions cost'!CF21/'National data'!$Q23</f>
        <v>1829372.4210410141</v>
      </c>
      <c r="BN22" s="234">
        <f>'Interventions cost'!CG21/'National data'!$Q23</f>
        <v>4223609.1643333044</v>
      </c>
      <c r="BO22" s="234">
        <f>'Interventions cost'!CH21/'National data'!$Q23</f>
        <v>261454.06033344002</v>
      </c>
      <c r="BP22" s="235">
        <f>'Interventions cost'!CI21/'National data'!$Q23</f>
        <v>3148821.1683070362</v>
      </c>
      <c r="BQ22" s="26"/>
      <c r="BR22" s="26"/>
      <c r="BS22" s="26"/>
      <c r="BT22" s="26"/>
      <c r="BU22" s="26"/>
      <c r="BV22" s="26"/>
    </row>
    <row r="23" spans="1:74">
      <c r="A23" s="9">
        <v>21</v>
      </c>
      <c r="B23" s="1" t="s">
        <v>413</v>
      </c>
      <c r="C23" s="1" t="s">
        <v>414</v>
      </c>
      <c r="D23" s="135"/>
      <c r="E23" s="1">
        <f t="shared" si="8"/>
        <v>1.82</v>
      </c>
      <c r="F23" s="1">
        <f t="shared" si="8"/>
        <v>1.78</v>
      </c>
      <c r="G23" s="1">
        <f t="shared" si="8"/>
        <v>0.94</v>
      </c>
      <c r="H23" s="1">
        <f t="shared" si="8"/>
        <v>4.1900000000000004</v>
      </c>
      <c r="I23" s="1">
        <f t="shared" si="8"/>
        <v>8.31</v>
      </c>
      <c r="J23" s="1">
        <f t="shared" si="11"/>
        <v>4.13</v>
      </c>
      <c r="K23" s="180">
        <f t="shared" si="9"/>
        <v>3.5283333333333329</v>
      </c>
      <c r="L23" s="135"/>
      <c r="M23" s="114">
        <f t="shared" si="10"/>
        <v>0.20760000000000001</v>
      </c>
      <c r="N23" s="114">
        <f t="shared" si="10"/>
        <v>0.12889999999999999</v>
      </c>
      <c r="O23" s="114">
        <f t="shared" si="10"/>
        <v>3.61E-2</v>
      </c>
      <c r="P23" s="114">
        <f t="shared" si="10"/>
        <v>0.31319999999999998</v>
      </c>
      <c r="Q23" s="114">
        <f t="shared" si="10"/>
        <v>6.0199999999999997E-2</v>
      </c>
      <c r="R23" s="154">
        <f t="shared" si="10"/>
        <v>0.25390000000000001</v>
      </c>
      <c r="S23" s="185">
        <f t="shared" si="12"/>
        <v>0.377832</v>
      </c>
      <c r="T23" s="140">
        <f t="shared" si="12"/>
        <v>0.22944199999999998</v>
      </c>
      <c r="U23" s="140">
        <f t="shared" si="12"/>
        <v>3.3933999999999999E-2</v>
      </c>
      <c r="V23" s="140">
        <f t="shared" si="12"/>
        <v>1.312308</v>
      </c>
      <c r="W23" s="140">
        <f t="shared" si="12"/>
        <v>0.50026199999999998</v>
      </c>
      <c r="X23" s="186">
        <f t="shared" si="12"/>
        <v>1.0486070000000001</v>
      </c>
      <c r="Y23" s="78">
        <f>'Interventions cost'!D22/'National data'!Q24</f>
        <v>8792299.044076195</v>
      </c>
      <c r="Z23" s="118">
        <f>'Interventions cost'!E22/'National data'!Q24</f>
        <v>20299439.518710557</v>
      </c>
      <c r="AA23" s="118">
        <f>'Interventions cost'!F22/'National data'!Q24</f>
        <v>1256596.1191387209</v>
      </c>
      <c r="AB23" s="178">
        <f>'Interventions cost'!G22/'National data'!$Q24</f>
        <v>15133811.480725352</v>
      </c>
      <c r="AC23" s="247">
        <f>'Interventions cost'!H22/'National data'!$Q24</f>
        <v>3408960.0516774869</v>
      </c>
      <c r="AD23" s="234">
        <f>'Interventions cost'!I22/'National data'!$Q24</f>
        <v>7870521.4692795267</v>
      </c>
      <c r="AE23" s="234">
        <f>'Interventions cost'!J22/'National data'!$Q24</f>
        <v>487208.85740607203</v>
      </c>
      <c r="AF23" s="235">
        <f>'Interventions cost'!K22/'National data'!$Q24</f>
        <v>5867698.3697648393</v>
      </c>
      <c r="AG23" s="247">
        <f>'Interventions cost'!L22/'National data'!$Q24</f>
        <v>2016617.5282731471</v>
      </c>
      <c r="AH23" s="234">
        <f>'Interventions cost'!M22/'National data'!$Q24</f>
        <v>4655915.9717313135</v>
      </c>
      <c r="AI23" s="234">
        <f>'Interventions cost'!N22/'National data'!$Q24</f>
        <v>288215.14681333391</v>
      </c>
      <c r="AJ23" s="235">
        <f>'Interventions cost'!O22/'National data'!$Q24</f>
        <v>3471118.2306946628</v>
      </c>
      <c r="AK23" s="247">
        <f>'Interventions cost'!P22/'National data'!$Q24</f>
        <v>6424930.8063039538</v>
      </c>
      <c r="AL23" s="234">
        <f>'Interventions cost'!Q22/'National data'!$Q24</f>
        <v>14833719.105850866</v>
      </c>
      <c r="AM23" s="234">
        <f>'Interventions cost'!R22/'National data'!$Q24</f>
        <v>918251.65141259658</v>
      </c>
      <c r="AN23" s="235">
        <f>'Interventions cost'!S22/'National data'!$Q24</f>
        <v>11058960.928406993</v>
      </c>
      <c r="AO23" s="247">
        <f>'Interventions cost'!T22/'National data'!$Q24</f>
        <v>43694.699486605168</v>
      </c>
      <c r="AP23" s="234">
        <f>'Interventions cost'!U22/'National data'!$Q24</f>
        <v>100881.22629475113</v>
      </c>
      <c r="AQ23" s="234">
        <f>'Interventions cost'!V22/'National data'!$Q24</f>
        <v>6244.8501269749204</v>
      </c>
      <c r="AR23" s="235">
        <f>'Interventions cost'!W22/'National data'!$Q24</f>
        <v>75209.833221352703</v>
      </c>
      <c r="AS23" s="118">
        <f>'Interventions cost'!AR22/'National data'!$Q24</f>
        <v>1666196.7578657991</v>
      </c>
      <c r="AT23" s="118">
        <f>'Interventions cost'!AS22/'National data'!$Q24</f>
        <v>3846873.285702961</v>
      </c>
      <c r="AU23" s="118">
        <f>'Interventions cost'!AT22/'National data'!$Q24</f>
        <v>238132.98082329618</v>
      </c>
      <c r="AV23" s="178">
        <f>'Interventions cost'!AU22/'National data'!$Q24</f>
        <v>2867953.8192375274</v>
      </c>
      <c r="AW23" s="234">
        <f>'Interventions cost'!AV22/'National data'!$Q24</f>
        <v>1622280.291150522</v>
      </c>
      <c r="AX23" s="234">
        <f>'Interventions cost'!AW22/'National data'!$Q24</f>
        <v>3745480.0487926607</v>
      </c>
      <c r="AY23" s="234">
        <f>'Interventions cost'!AX22/'National data'!$Q24</f>
        <v>231856.43570534064</v>
      </c>
      <c r="AZ23" s="235">
        <f>'Interventions cost'!AY22/'National data'!$Q24</f>
        <v>2792362.2674901676</v>
      </c>
      <c r="BA23" s="234">
        <f>'Interventions cost'!AZ22/'National data'!$Q24</f>
        <v>321197.16090343596</v>
      </c>
      <c r="BB23" s="234">
        <f>'Interventions cost'!BA22/'National data'!$Q24</f>
        <v>741571.94934512244</v>
      </c>
      <c r="BC23" s="234">
        <f>'Interventions cost'!BB22/'National data'!$Q24</f>
        <v>45905.525260946204</v>
      </c>
      <c r="BD23" s="235">
        <f>'Interventions cost'!BC22/'National data'!$Q24</f>
        <v>552863.05173296633</v>
      </c>
      <c r="BE23" s="234">
        <f>'Interventions cost'!BD22/'National data'!$Q24</f>
        <v>467181.16545642121</v>
      </c>
      <c r="BF23" s="234">
        <f>'Interventions cost'!BE22/'National data'!$Q24</f>
        <v>1078616.157721892</v>
      </c>
      <c r="BG23" s="234">
        <f>'Interventions cost'!BF22/'National data'!$Q24</f>
        <v>66769.571474343044</v>
      </c>
      <c r="BH23" s="235">
        <f>'Interventions cost'!BG22/'National data'!$Q24</f>
        <v>804139.12787993741</v>
      </c>
      <c r="BI23" s="234">
        <f>'Interventions cost'!BH22/'National data'!$Q24</f>
        <v>6460.2978707984339</v>
      </c>
      <c r="BJ23" s="234">
        <f>'Interventions cost'!BI22/'National data'!$Q24</f>
        <v>14915.373697336097</v>
      </c>
      <c r="BK23" s="234">
        <f>'Interventions cost'!BJ22/'National data'!$Q24</f>
        <v>923.30631524583316</v>
      </c>
      <c r="BL23" s="234">
        <f>'Interventions cost'!BK22/'National data'!$Q24</f>
        <v>11119.836756674771</v>
      </c>
      <c r="BM23" s="247">
        <f>'Interventions cost'!CF22/'National data'!$Q24</f>
        <v>1863885.8793397732</v>
      </c>
      <c r="BN23" s="234">
        <f>'Interventions cost'!CG22/'National data'!$Q24</f>
        <v>4303292.9712426271</v>
      </c>
      <c r="BO23" s="234">
        <f>'Interventions cost'!CH22/'National data'!$Q24</f>
        <v>266386.72669736407</v>
      </c>
      <c r="BP23" s="235">
        <f>'Interventions cost'!CI22/'National data'!$Q24</f>
        <v>3208227.7204298512</v>
      </c>
      <c r="BQ23" s="26"/>
      <c r="BR23" s="26"/>
      <c r="BS23" s="26"/>
      <c r="BT23" s="26"/>
      <c r="BU23" s="26"/>
      <c r="BV23" s="26"/>
    </row>
    <row r="24" spans="1:74">
      <c r="A24" s="9">
        <v>22</v>
      </c>
      <c r="B24" s="1" t="s">
        <v>418</v>
      </c>
      <c r="C24" s="1" t="s">
        <v>419</v>
      </c>
      <c r="D24" s="135"/>
      <c r="E24" s="1">
        <f t="shared" si="8"/>
        <v>1.82</v>
      </c>
      <c r="F24" s="1">
        <f t="shared" si="8"/>
        <v>1.78</v>
      </c>
      <c r="G24" s="1">
        <f t="shared" si="8"/>
        <v>0.94</v>
      </c>
      <c r="H24" s="1">
        <f t="shared" si="8"/>
        <v>4.1900000000000004</v>
      </c>
      <c r="I24" s="1">
        <f t="shared" si="8"/>
        <v>8.31</v>
      </c>
      <c r="J24" s="1">
        <f t="shared" si="11"/>
        <v>4.13</v>
      </c>
      <c r="K24" s="180">
        <f t="shared" si="9"/>
        <v>3.5283333333333329</v>
      </c>
      <c r="L24" s="135"/>
      <c r="M24" s="114">
        <f t="shared" si="10"/>
        <v>0.20760000000000001</v>
      </c>
      <c r="N24" s="114">
        <f t="shared" si="10"/>
        <v>0.12889999999999999</v>
      </c>
      <c r="O24" s="114">
        <f t="shared" si="10"/>
        <v>3.61E-2</v>
      </c>
      <c r="P24" s="114">
        <f t="shared" si="10"/>
        <v>0.31319999999999998</v>
      </c>
      <c r="Q24" s="114">
        <f t="shared" si="10"/>
        <v>6.0199999999999997E-2</v>
      </c>
      <c r="R24" s="154">
        <f t="shared" si="10"/>
        <v>0.25390000000000001</v>
      </c>
      <c r="S24" s="185">
        <f t="shared" si="12"/>
        <v>0.377832</v>
      </c>
      <c r="T24" s="140">
        <f t="shared" si="12"/>
        <v>0.22944199999999998</v>
      </c>
      <c r="U24" s="140">
        <f t="shared" si="12"/>
        <v>3.3933999999999999E-2</v>
      </c>
      <c r="V24" s="140">
        <f t="shared" si="12"/>
        <v>1.312308</v>
      </c>
      <c r="W24" s="140">
        <f t="shared" si="12"/>
        <v>0.50026199999999998</v>
      </c>
      <c r="X24" s="186">
        <f t="shared" si="12"/>
        <v>1.0486070000000001</v>
      </c>
      <c r="Y24" s="78">
        <f>'Interventions cost'!D23/'National data'!Q25</f>
        <v>39254525.710745521</v>
      </c>
      <c r="Z24" s="118">
        <f>'Interventions cost'!E23/'National data'!Q25</f>
        <v>90629864.442317948</v>
      </c>
      <c r="AA24" s="118">
        <f>'Interventions cost'!F23/'National data'!Q25</f>
        <v>5610260.1173453098</v>
      </c>
      <c r="AB24" s="178">
        <f>'Interventions cost'!G23/'National data'!$Q25</f>
        <v>67567150.399867699</v>
      </c>
      <c r="AC24" s="247">
        <f>'Interventions cost'!H23/'National data'!$Q25</f>
        <v>11188536.038509144</v>
      </c>
      <c r="AD24" s="234">
        <f>'Interventions cost'!I23/'National data'!$Q25</f>
        <v>25831811.392908927</v>
      </c>
      <c r="AE24" s="234">
        <f>'Interventions cost'!J23/'National data'!$Q25</f>
        <v>1599066.5119957295</v>
      </c>
      <c r="AF24" s="235">
        <f>'Interventions cost'!K23/'National data'!$Q25</f>
        <v>19258352.599617478</v>
      </c>
      <c r="AG24" s="247">
        <f>'Interventions cost'!L23/'National data'!$Q25</f>
        <v>8771407.3940429445</v>
      </c>
      <c r="AH24" s="234">
        <f>'Interventions cost'!M23/'National data'!$Q25</f>
        <v>20251205.401084431</v>
      </c>
      <c r="AI24" s="234">
        <f>'Interventions cost'!N23/'National data'!$Q25</f>
        <v>1253610.2827582038</v>
      </c>
      <c r="AJ24" s="235">
        <f>'Interventions cost'!O23/'National data'!$Q25</f>
        <v>15097851.569496274</v>
      </c>
      <c r="AK24" s="247">
        <f>'Interventions cost'!P23/'National data'!$Q25</f>
        <v>22537066.716148179</v>
      </c>
      <c r="AL24" s="234">
        <f>'Interventions cost'!Q23/'National data'!$Q25</f>
        <v>52033014.395913668</v>
      </c>
      <c r="AM24" s="234">
        <f>'Interventions cost'!R23/'National data'!$Q25</f>
        <v>3220999.4712774036</v>
      </c>
      <c r="AN24" s="235">
        <f>'Interventions cost'!S23/'National data'!$Q25</f>
        <v>38792097.186516121</v>
      </c>
      <c r="AO24" s="247">
        <f>'Interventions cost'!T23/'National data'!$Q25</f>
        <v>177995.3890693592</v>
      </c>
      <c r="AP24" s="234">
        <f>'Interventions cost'!U23/'National data'!$Q25</f>
        <v>410951.2900902984</v>
      </c>
      <c r="AQ24" s="234">
        <f>'Interventions cost'!V23/'National data'!$Q25</f>
        <v>25439.115981825009</v>
      </c>
      <c r="AR24" s="235">
        <f>'Interventions cost'!W23/'National data'!$Q25</f>
        <v>306375.91477611935</v>
      </c>
      <c r="AS24" s="118">
        <f>'Interventions cost'!AR23/'National data'!$Q25</f>
        <v>11759398.470912967</v>
      </c>
      <c r="AT24" s="118">
        <f>'Interventions cost'!AS23/'National data'!$Q25</f>
        <v>27149804.259392798</v>
      </c>
      <c r="AU24" s="118">
        <f>'Interventions cost'!AT23/'National data'!$Q25</f>
        <v>1680654.2188656456</v>
      </c>
      <c r="AV24" s="178">
        <f>'Interventions cost'!AU23/'National data'!$Q25</f>
        <v>20240953.895378508</v>
      </c>
      <c r="AW24" s="234">
        <f>'Interventions cost'!AV23/'National data'!$Q25</f>
        <v>8782264.3310480751</v>
      </c>
      <c r="AX24" s="234">
        <f>'Interventions cost'!AW23/'National data'!$Q25</f>
        <v>20276271.624945704</v>
      </c>
      <c r="AY24" s="234">
        <f>'Interventions cost'!AX23/'National data'!$Q25</f>
        <v>1255161.9571084494</v>
      </c>
      <c r="AZ24" s="235">
        <f>'Interventions cost'!AY23/'National data'!$Q25</f>
        <v>15116539.154742191</v>
      </c>
      <c r="BA24" s="234">
        <f>'Interventions cost'!AZ23/'National data'!$Q25</f>
        <v>2804179.7970947302</v>
      </c>
      <c r="BB24" s="234">
        <f>'Interventions cost'!BA23/'National data'!$Q25</f>
        <v>6474219.9856209978</v>
      </c>
      <c r="BC24" s="234">
        <f>'Interventions cost'!BB23/'National data'!$Q25</f>
        <v>400773.61253659229</v>
      </c>
      <c r="BD24" s="235">
        <f>'Interventions cost'!BC23/'National data'!$Q25</f>
        <v>4826715.7650743052</v>
      </c>
      <c r="BE24" s="234">
        <f>'Interventions cost'!BD23/'National data'!$Q25</f>
        <v>2871978.8504728652</v>
      </c>
      <c r="BF24" s="234">
        <f>'Interventions cost'!BE23/'National data'!$Q25</f>
        <v>6630752.7396340193</v>
      </c>
      <c r="BG24" s="234">
        <f>'Interventions cost'!BF23/'National data'!$Q25</f>
        <v>410463.45894981734</v>
      </c>
      <c r="BH24" s="235">
        <f>'Interventions cost'!BG23/'National data'!$Q25</f>
        <v>4943415.4004316404</v>
      </c>
      <c r="BI24" s="234">
        <f>'Interventions cost'!BH23/'National data'!$Q25</f>
        <v>55070.050218423938</v>
      </c>
      <c r="BJ24" s="234">
        <f>'Interventions cost'!BI23/'National data'!$Q25</f>
        <v>127144.35076618871</v>
      </c>
      <c r="BK24" s="234">
        <f>'Interventions cost'!BJ23/'National data'!$Q25</f>
        <v>7870.6162106565253</v>
      </c>
      <c r="BL24" s="234">
        <f>'Interventions cost'!BK23/'National data'!$Q25</f>
        <v>94789.742030125999</v>
      </c>
      <c r="BM24" s="247">
        <f>'Interventions cost'!CF23/'National data'!$Q25</f>
        <v>9255760.2316066809</v>
      </c>
      <c r="BN24" s="234">
        <f>'Interventions cost'!CG23/'National data'!$Q25</f>
        <v>21369467.084695522</v>
      </c>
      <c r="BO24" s="234">
        <f>'Interventions cost'!CH23/'National data'!$Q25</f>
        <v>1322834.0310549005</v>
      </c>
      <c r="BP24" s="235">
        <f>'Interventions cost'!CI23/'National data'!$Q25</f>
        <v>15931547.568358209</v>
      </c>
      <c r="BQ24" s="26"/>
      <c r="BR24" s="26"/>
      <c r="BS24" s="26"/>
      <c r="BT24" s="26"/>
      <c r="BU24" s="26"/>
      <c r="BV24" s="26"/>
    </row>
    <row r="25" spans="1:74">
      <c r="A25" s="9">
        <v>23</v>
      </c>
      <c r="B25" s="1" t="s">
        <v>424</v>
      </c>
      <c r="C25" s="1" t="s">
        <v>425</v>
      </c>
      <c r="D25" s="135"/>
      <c r="E25" s="1">
        <f t="shared" si="8"/>
        <v>1.82</v>
      </c>
      <c r="F25" s="1">
        <f t="shared" si="8"/>
        <v>1.78</v>
      </c>
      <c r="G25" s="1">
        <f t="shared" si="8"/>
        <v>0.94</v>
      </c>
      <c r="H25" s="1">
        <f t="shared" si="8"/>
        <v>4.1900000000000004</v>
      </c>
      <c r="I25" s="1">
        <f t="shared" si="8"/>
        <v>8.31</v>
      </c>
      <c r="J25" s="1">
        <f t="shared" si="11"/>
        <v>4.13</v>
      </c>
      <c r="K25" s="180">
        <f t="shared" si="9"/>
        <v>3.5283333333333329</v>
      </c>
      <c r="L25" s="135"/>
      <c r="M25" s="114">
        <f t="shared" si="10"/>
        <v>0.20760000000000001</v>
      </c>
      <c r="N25" s="114">
        <f t="shared" si="10"/>
        <v>0.12889999999999999</v>
      </c>
      <c r="O25" s="114">
        <f t="shared" si="10"/>
        <v>3.61E-2</v>
      </c>
      <c r="P25" s="114">
        <f t="shared" si="10"/>
        <v>0.31319999999999998</v>
      </c>
      <c r="Q25" s="114">
        <f t="shared" si="10"/>
        <v>6.0199999999999997E-2</v>
      </c>
      <c r="R25" s="154">
        <f t="shared" si="10"/>
        <v>0.25390000000000001</v>
      </c>
      <c r="S25" s="185">
        <f t="shared" si="12"/>
        <v>0.377832</v>
      </c>
      <c r="T25" s="140">
        <f t="shared" si="12"/>
        <v>0.22944199999999998</v>
      </c>
      <c r="U25" s="140">
        <f t="shared" si="12"/>
        <v>3.3933999999999999E-2</v>
      </c>
      <c r="V25" s="140">
        <f t="shared" si="12"/>
        <v>1.312308</v>
      </c>
      <c r="W25" s="140">
        <f t="shared" si="12"/>
        <v>0.50026199999999998</v>
      </c>
      <c r="X25" s="186">
        <f t="shared" si="12"/>
        <v>1.0486070000000001</v>
      </c>
      <c r="Y25" s="78">
        <f>'Interventions cost'!D24/'National data'!Q26</f>
        <v>20250344.641728513</v>
      </c>
      <c r="Z25" s="118">
        <f>'Interventions cost'!E24/'National data'!Q26</f>
        <v>46753487.822365485</v>
      </c>
      <c r="AA25" s="118">
        <f>'Interventions cost'!F24/'National data'!Q26</f>
        <v>2894180.9600029704</v>
      </c>
      <c r="AB25" s="178">
        <f>'Interventions cost'!G24/'National data'!$Q26</f>
        <v>34856059.455133811</v>
      </c>
      <c r="AC25" s="247">
        <f>'Interventions cost'!H24/'National data'!$Q26</f>
        <v>5037651.7167261038</v>
      </c>
      <c r="AD25" s="234">
        <f>'Interventions cost'!I24/'National data'!$Q26</f>
        <v>11630803.93732838</v>
      </c>
      <c r="AE25" s="234">
        <f>'Interventions cost'!J24/'National data'!$Q26</f>
        <v>719981.60720836348</v>
      </c>
      <c r="AF25" s="235">
        <f>'Interventions cost'!K24/'National data'!$Q26</f>
        <v>8671096.2632522341</v>
      </c>
      <c r="AG25" s="247">
        <f>'Interventions cost'!L24/'National data'!$Q26</f>
        <v>3738935.4552026368</v>
      </c>
      <c r="AH25" s="234">
        <f>'Interventions cost'!M24/'National data'!$Q26</f>
        <v>8632360.4050279502</v>
      </c>
      <c r="AI25" s="234">
        <f>'Interventions cost'!N24/'National data'!$Q26</f>
        <v>534368.9698410905</v>
      </c>
      <c r="AJ25" s="235">
        <f>'Interventions cost'!O24/'National data'!$Q26</f>
        <v>6435671.0382548245</v>
      </c>
      <c r="AK25" s="247">
        <f>'Interventions cost'!P24/'National data'!$Q26</f>
        <v>13784803.928746456</v>
      </c>
      <c r="AL25" s="234">
        <f>'Interventions cost'!Q24/'National data'!$Q26</f>
        <v>31826009.582488365</v>
      </c>
      <c r="AM25" s="234">
        <f>'Interventions cost'!R24/'National data'!$Q26</f>
        <v>1970125.3373111356</v>
      </c>
      <c r="AN25" s="235">
        <f>'Interventions cost'!S24/'National data'!$Q26</f>
        <v>23727198.416546848</v>
      </c>
      <c r="AO25" s="247">
        <f>'Interventions cost'!T24/'National data'!$Q26</f>
        <v>148551.63246784001</v>
      </c>
      <c r="AP25" s="234">
        <f>'Interventions cost'!U24/'National data'!$Q26</f>
        <v>342972.28330948757</v>
      </c>
      <c r="AQ25" s="234">
        <f>'Interventions cost'!V24/'National data'!$Q26</f>
        <v>21231.011811020893</v>
      </c>
      <c r="AR25" s="235">
        <f>'Interventions cost'!W24/'National data'!$Q26</f>
        <v>255695.6251888386</v>
      </c>
      <c r="AS25" s="118">
        <f>'Interventions cost'!AR24/'National data'!$Q26</f>
        <v>4031746.8191647702</v>
      </c>
      <c r="AT25" s="118">
        <f>'Interventions cost'!AS24/'National data'!$Q26</f>
        <v>9308395.9383217283</v>
      </c>
      <c r="AU25" s="118">
        <f>'Interventions cost'!AT24/'National data'!$Q26</f>
        <v>576217.59461488423</v>
      </c>
      <c r="AV25" s="178">
        <f>'Interventions cost'!AU24/'National data'!$Q26</f>
        <v>6939674.8214976816</v>
      </c>
      <c r="AW25" s="234">
        <f>'Interventions cost'!AV24/'National data'!$Q26</f>
        <v>3632810.0816410659</v>
      </c>
      <c r="AX25" s="234">
        <f>'Interventions cost'!AW24/'National data'!$Q26</f>
        <v>8387340.8042143118</v>
      </c>
      <c r="AY25" s="234">
        <f>'Interventions cost'!AX24/'National data'!$Q26</f>
        <v>519201.5225225797</v>
      </c>
      <c r="AZ25" s="235">
        <f>'Interventions cost'!AY24/'National data'!$Q26</f>
        <v>6253001.9333084365</v>
      </c>
      <c r="BA25" s="234">
        <f>'Interventions cost'!AZ24/'National data'!$Q26</f>
        <v>803979.09669931047</v>
      </c>
      <c r="BB25" s="234">
        <f>'Interventions cost'!BA24/'National data'!$Q26</f>
        <v>1856206.774353405</v>
      </c>
      <c r="BC25" s="234">
        <f>'Interventions cost'!BB24/'National data'!$Q26</f>
        <v>114904.76014480893</v>
      </c>
      <c r="BD25" s="235">
        <f>'Interventions cost'!BC24/'National data'!$Q26</f>
        <v>1383855.1240006916</v>
      </c>
      <c r="BE25" s="234">
        <f>'Interventions cost'!BD24/'National data'!$Q26</f>
        <v>981169.48267448228</v>
      </c>
      <c r="BF25" s="234">
        <f>'Interventions cost'!BE24/'National data'!$Q26</f>
        <v>2265299.4934896315</v>
      </c>
      <c r="BG25" s="234">
        <f>'Interventions cost'!BF24/'National data'!$Q26</f>
        <v>140228.82501668198</v>
      </c>
      <c r="BH25" s="235">
        <f>'Interventions cost'!BG24/'National data'!$Q26</f>
        <v>1688845.4210893593</v>
      </c>
      <c r="BI25" s="234">
        <f>'Interventions cost'!BH24/'National data'!$Q26</f>
        <v>20811.705114860877</v>
      </c>
      <c r="BJ25" s="234">
        <f>'Interventions cost'!BI24/'National data'!$Q26</f>
        <v>48049.542803596232</v>
      </c>
      <c r="BK25" s="234">
        <f>'Interventions cost'!BJ24/'National data'!$Q26</f>
        <v>2974.4106460543417</v>
      </c>
      <c r="BL25" s="234">
        <f>'Interventions cost'!BK24/'National data'!$Q26</f>
        <v>35822.305431360015</v>
      </c>
      <c r="BM25" s="247">
        <f>'Interventions cost'!CF24/'National data'!$Q26</f>
        <v>3701411.5089903446</v>
      </c>
      <c r="BN25" s="234">
        <f>'Interventions cost'!CG24/'National data'!$Q26</f>
        <v>8545726.0591280591</v>
      </c>
      <c r="BO25" s="234">
        <f>'Interventions cost'!CH24/'National data'!$Q26</f>
        <v>529006.04429127008</v>
      </c>
      <c r="BP25" s="235">
        <f>'Interventions cost'!CI24/'National data'!$Q26</f>
        <v>6371082.6609552233</v>
      </c>
      <c r="BQ25" s="26"/>
      <c r="BR25" s="26"/>
      <c r="BS25" s="26"/>
      <c r="BT25" s="26"/>
      <c r="BU25" s="26"/>
      <c r="BV25" s="26"/>
    </row>
    <row r="26" spans="1:74">
      <c r="A26" s="9">
        <v>24</v>
      </c>
      <c r="B26" s="1" t="s">
        <v>429</v>
      </c>
      <c r="C26" s="1" t="s">
        <v>430</v>
      </c>
      <c r="D26" s="135"/>
      <c r="E26" s="1">
        <f t="shared" si="8"/>
        <v>1.82</v>
      </c>
      <c r="F26" s="1">
        <f t="shared" si="8"/>
        <v>1.78</v>
      </c>
      <c r="G26" s="1">
        <f t="shared" si="8"/>
        <v>0.94</v>
      </c>
      <c r="H26" s="1">
        <f t="shared" si="8"/>
        <v>4.1900000000000004</v>
      </c>
      <c r="I26" s="1">
        <f t="shared" si="8"/>
        <v>8.31</v>
      </c>
      <c r="J26" s="1">
        <f t="shared" si="11"/>
        <v>4.13</v>
      </c>
      <c r="K26" s="180">
        <f t="shared" si="9"/>
        <v>3.5283333333333329</v>
      </c>
      <c r="L26" s="135"/>
      <c r="M26" s="114">
        <f t="shared" si="10"/>
        <v>0.20760000000000001</v>
      </c>
      <c r="N26" s="114">
        <f t="shared" si="10"/>
        <v>0.12889999999999999</v>
      </c>
      <c r="O26" s="114">
        <f t="shared" si="10"/>
        <v>3.61E-2</v>
      </c>
      <c r="P26" s="114">
        <f t="shared" si="10"/>
        <v>0.31319999999999998</v>
      </c>
      <c r="Q26" s="114">
        <f t="shared" si="10"/>
        <v>6.0199999999999997E-2</v>
      </c>
      <c r="R26" s="154">
        <f t="shared" si="10"/>
        <v>0.25390000000000001</v>
      </c>
      <c r="S26" s="185">
        <f t="shared" si="12"/>
        <v>0.377832</v>
      </c>
      <c r="T26" s="140">
        <f t="shared" si="12"/>
        <v>0.22944199999999998</v>
      </c>
      <c r="U26" s="140">
        <f t="shared" si="12"/>
        <v>3.3933999999999999E-2</v>
      </c>
      <c r="V26" s="140">
        <f t="shared" si="12"/>
        <v>1.312308</v>
      </c>
      <c r="W26" s="140">
        <f t="shared" si="12"/>
        <v>0.50026199999999998</v>
      </c>
      <c r="X26" s="186">
        <f t="shared" si="12"/>
        <v>1.0486070000000001</v>
      </c>
      <c r="Y26" s="78">
        <f>'Interventions cost'!D25/'National data'!Q27</f>
        <v>3680249.7498766412</v>
      </c>
      <c r="Z26" s="118">
        <f>'Interventions cost'!E25/'National data'!Q27</f>
        <v>8496868.3204314224</v>
      </c>
      <c r="AA26" s="118">
        <f>'Interventions cost'!F25/'National data'!Q27</f>
        <v>525981.60389824852</v>
      </c>
      <c r="AB26" s="178">
        <f>'Interventions cost'!G25/'National data'!$Q27</f>
        <v>6334657.8224207442</v>
      </c>
      <c r="AC26" s="247">
        <f>'Interventions cost'!H25/'National data'!$Q27</f>
        <v>1152098.063125429</v>
      </c>
      <c r="AD26" s="234">
        <f>'Interventions cost'!I25/'National data'!$Q27</f>
        <v>2659935.1130800261</v>
      </c>
      <c r="AE26" s="234">
        <f>'Interventions cost'!J25/'National data'!$Q27</f>
        <v>164657.95211618204</v>
      </c>
      <c r="AF26" s="235">
        <f>'Interventions cost'!K25/'National data'!$Q27</f>
        <v>1983057.5378798458</v>
      </c>
      <c r="AG26" s="247">
        <f>'Interventions cost'!L25/'National data'!$Q27</f>
        <v>729197.54246199818</v>
      </c>
      <c r="AH26" s="234">
        <f>'Interventions cost'!M25/'National data'!$Q27</f>
        <v>1683552.9974805329</v>
      </c>
      <c r="AI26" s="234">
        <f>'Interventions cost'!N25/'National data'!$Q27</f>
        <v>104216.97412130226</v>
      </c>
      <c r="AJ26" s="235">
        <f>'Interventions cost'!O25/'National data'!$Q27</f>
        <v>1255136.8060283717</v>
      </c>
      <c r="AK26" s="247">
        <f>'Interventions cost'!P25/'National data'!$Q27</f>
        <v>2049058.9855871121</v>
      </c>
      <c r="AL26" s="234">
        <f>'Interventions cost'!Q25/'National data'!$Q27</f>
        <v>4730815.9947335301</v>
      </c>
      <c r="AM26" s="234">
        <f>'Interventions cost'!R25/'National data'!$Q27</f>
        <v>292851.68262217898</v>
      </c>
      <c r="AN26" s="235">
        <f>'Interventions cost'!S25/'National data'!$Q27</f>
        <v>3526958.3353917771</v>
      </c>
      <c r="AO26" s="247">
        <f>'Interventions cost'!T25/'National data'!$Q27</f>
        <v>72263.901646055529</v>
      </c>
      <c r="AP26" s="234">
        <f>'Interventions cost'!U25/'National data'!$Q27</f>
        <v>166841.0837138764</v>
      </c>
      <c r="AQ26" s="234">
        <f>'Interventions cost'!V25/'National data'!$Q27</f>
        <v>10327.962903336007</v>
      </c>
      <c r="AR26" s="235">
        <f>'Interventions cost'!W25/'National data'!$Q27</f>
        <v>124384.78933560775</v>
      </c>
      <c r="AS26" s="118">
        <f>'Interventions cost'!AR25/'National data'!$Q27</f>
        <v>1630252.734033817</v>
      </c>
      <c r="AT26" s="118">
        <f>'Interventions cost'!AS25/'National data'!$Q27</f>
        <v>3763886.6249696678</v>
      </c>
      <c r="AU26" s="118">
        <f>'Interventions cost'!AT25/'National data'!$Q27</f>
        <v>232995.85791300004</v>
      </c>
      <c r="AV26" s="178">
        <f>'Interventions cost'!AU25/'National data'!$Q27</f>
        <v>2806084.8953298018</v>
      </c>
      <c r="AW26" s="234">
        <f>'Interventions cost'!AV25/'National data'!$Q27</f>
        <v>815237.17684351036</v>
      </c>
      <c r="AX26" s="234">
        <f>'Interventions cost'!AW25/'National data'!$Q27</f>
        <v>1882199.1474333394</v>
      </c>
      <c r="AY26" s="234">
        <f>'Interventions cost'!AX25/'National data'!$Q27</f>
        <v>116513.76590624123</v>
      </c>
      <c r="AZ26" s="235">
        <f>'Interventions cost'!AY25/'National data'!$Q27</f>
        <v>1403233.1799202079</v>
      </c>
      <c r="BA26" s="234">
        <f>'Interventions cost'!AZ25/'National data'!$Q27</f>
        <v>318500.59850020177</v>
      </c>
      <c r="BB26" s="234">
        <f>'Interventions cost'!BA25/'National data'!$Q27</f>
        <v>735346.19369936083</v>
      </c>
      <c r="BC26" s="234">
        <f>'Interventions cost'!BB25/'National data'!$Q27</f>
        <v>45520.132335394774</v>
      </c>
      <c r="BD26" s="235">
        <f>'Interventions cost'!BC25/'National data'!$Q27</f>
        <v>548221.57322410541</v>
      </c>
      <c r="BE26" s="234">
        <f>'Interventions cost'!BD25/'National data'!$Q27</f>
        <v>417547.43024498649</v>
      </c>
      <c r="BF26" s="234">
        <f>'Interventions cost'!BE25/'National data'!$Q27</f>
        <v>964023.034698962</v>
      </c>
      <c r="BG26" s="234">
        <f>'Interventions cost'!BF25/'National data'!$Q27</f>
        <v>59675.913861881672</v>
      </c>
      <c r="BH26" s="235">
        <f>'Interventions cost'!BG25/'National data'!$Q27</f>
        <v>718706.68432807946</v>
      </c>
      <c r="BI26" s="234">
        <f>'Interventions cost'!BH25/'National data'!$Q27</f>
        <v>11534.706139704245</v>
      </c>
      <c r="BJ26" s="234">
        <f>'Interventions cost'!BI25/'National data'!$Q27</f>
        <v>26631.040240468476</v>
      </c>
      <c r="BK26" s="234">
        <f>'Interventions cost'!BJ25/'National data'!$Q27</f>
        <v>1648.5411719843137</v>
      </c>
      <c r="BL26" s="234">
        <f>'Interventions cost'!BK25/'National data'!$Q27</f>
        <v>19854.200514421966</v>
      </c>
      <c r="BM26" s="247">
        <f>'Interventions cost'!CF25/'National data'!$Q27</f>
        <v>1339007.5893239693</v>
      </c>
      <c r="BN26" s="234">
        <f>'Interventions cost'!CG25/'National data'!$Q27</f>
        <v>3091467.1394041786</v>
      </c>
      <c r="BO26" s="234">
        <f>'Interventions cost'!CH25/'National data'!$Q27</f>
        <v>191371.07732652006</v>
      </c>
      <c r="BP26" s="235">
        <f>'Interventions cost'!CI25/'National data'!$Q27</f>
        <v>2304776.9788656714</v>
      </c>
      <c r="BQ26" s="26"/>
      <c r="BR26" s="26"/>
      <c r="BS26" s="26"/>
      <c r="BT26" s="26"/>
      <c r="BU26" s="26"/>
      <c r="BV26" s="26"/>
    </row>
    <row r="27" spans="1:74">
      <c r="A27" s="9">
        <v>25</v>
      </c>
      <c r="B27" s="1" t="s">
        <v>434</v>
      </c>
      <c r="C27" s="1" t="s">
        <v>435</v>
      </c>
      <c r="D27" s="135"/>
      <c r="E27" s="1">
        <f t="shared" si="8"/>
        <v>1.82</v>
      </c>
      <c r="F27" s="1">
        <f t="shared" si="8"/>
        <v>1.78</v>
      </c>
      <c r="G27" s="1">
        <f t="shared" si="8"/>
        <v>0.94</v>
      </c>
      <c r="H27" s="1">
        <f t="shared" si="8"/>
        <v>4.1900000000000004</v>
      </c>
      <c r="I27" s="1">
        <f t="shared" si="8"/>
        <v>8.31</v>
      </c>
      <c r="J27" s="1">
        <f t="shared" si="11"/>
        <v>4.13</v>
      </c>
      <c r="K27" s="180">
        <f t="shared" si="9"/>
        <v>3.5283333333333329</v>
      </c>
      <c r="L27" s="135"/>
      <c r="M27" s="114">
        <f t="shared" si="10"/>
        <v>0.20760000000000001</v>
      </c>
      <c r="N27" s="114">
        <f t="shared" si="10"/>
        <v>0.12889999999999999</v>
      </c>
      <c r="O27" s="114">
        <f t="shared" si="10"/>
        <v>3.61E-2</v>
      </c>
      <c r="P27" s="114">
        <f t="shared" si="10"/>
        <v>0.31319999999999998</v>
      </c>
      <c r="Q27" s="114">
        <f t="shared" si="10"/>
        <v>6.0199999999999997E-2</v>
      </c>
      <c r="R27" s="154">
        <f t="shared" si="10"/>
        <v>0.25390000000000001</v>
      </c>
      <c r="S27" s="185">
        <f t="shared" si="12"/>
        <v>0.377832</v>
      </c>
      <c r="T27" s="140">
        <f t="shared" si="12"/>
        <v>0.22944199999999998</v>
      </c>
      <c r="U27" s="140">
        <f t="shared" si="12"/>
        <v>3.3933999999999999E-2</v>
      </c>
      <c r="V27" s="140">
        <f t="shared" si="12"/>
        <v>1.312308</v>
      </c>
      <c r="W27" s="140">
        <f t="shared" si="12"/>
        <v>0.50026199999999998</v>
      </c>
      <c r="X27" s="186">
        <f t="shared" si="12"/>
        <v>1.0486070000000001</v>
      </c>
      <c r="Y27" s="78">
        <f>'Interventions cost'!D26/'National data'!Q28</f>
        <v>13181985.932146251</v>
      </c>
      <c r="Z27" s="118">
        <f>'Interventions cost'!E26/'National data'!Q28</f>
        <v>30434238.510845773</v>
      </c>
      <c r="AA27" s="118">
        <f>'Interventions cost'!F26/'National data'!Q28</f>
        <v>1883970.5385176209</v>
      </c>
      <c r="AB27" s="178">
        <f>'Interventions cost'!G26/'National data'!$Q28</f>
        <v>22689593.363306236</v>
      </c>
      <c r="AC27" s="247">
        <f>'Interventions cost'!H26/'National data'!$Q28</f>
        <v>2221875.3620097688</v>
      </c>
      <c r="AD27" s="234">
        <f>'Interventions cost'!I26/'National data'!$Q28</f>
        <v>5129810.1103167562</v>
      </c>
      <c r="AE27" s="234">
        <f>'Interventions cost'!J26/'National data'!$Q28</f>
        <v>317550.61368078965</v>
      </c>
      <c r="AF27" s="235">
        <f>'Interventions cost'!K26/'National data'!$Q28</f>
        <v>3824419.8353307103</v>
      </c>
      <c r="AG27" s="247">
        <f>'Interventions cost'!L26/'National data'!$Q28</f>
        <v>2700946.0049644546</v>
      </c>
      <c r="AH27" s="234">
        <f>'Interventions cost'!M26/'National data'!$Q28</f>
        <v>6235876.3954939591</v>
      </c>
      <c r="AI27" s="234">
        <f>'Interventions cost'!N26/'National data'!$Q28</f>
        <v>386019.43027953187</v>
      </c>
      <c r="AJ27" s="235">
        <f>'Interventions cost'!O26/'National data'!$Q28</f>
        <v>4649023.8166194139</v>
      </c>
      <c r="AK27" s="247">
        <f>'Interventions cost'!P26/'National data'!$Q28</f>
        <v>6596469.2459637066</v>
      </c>
      <c r="AL27" s="234">
        <f>'Interventions cost'!Q26/'National data'!$Q28</f>
        <v>15229762.75308704</v>
      </c>
      <c r="AM27" s="234">
        <f>'Interventions cost'!R26/'National data'!$Q28</f>
        <v>942767.93964153086</v>
      </c>
      <c r="AN27" s="235">
        <f>'Interventions cost'!S26/'National data'!$Q28</f>
        <v>11354222.769990683</v>
      </c>
      <c r="AO27" s="247">
        <f>'Interventions cost'!T26/'National data'!$Q28</f>
        <v>214277.85973667871</v>
      </c>
      <c r="AP27" s="234">
        <f>'Interventions cost'!U26/'National data'!$Q28</f>
        <v>494719.34838864167</v>
      </c>
      <c r="AQ27" s="234">
        <f>'Interventions cost'!V26/'National data'!$Q28</f>
        <v>30624.609742303499</v>
      </c>
      <c r="AR27" s="235">
        <f>'Interventions cost'!W26/'National data'!$Q28</f>
        <v>368827.39286865655</v>
      </c>
      <c r="AS27" s="118">
        <f>'Interventions cost'!AR26/'National data'!$Q28</f>
        <v>3800496.8272457817</v>
      </c>
      <c r="AT27" s="118">
        <f>'Interventions cost'!AS26/'National data'!$Q28</f>
        <v>8774491.7568181958</v>
      </c>
      <c r="AU27" s="118">
        <f>'Interventions cost'!AT26/'National data'!$Q28</f>
        <v>543167.3263130975</v>
      </c>
      <c r="AV27" s="178">
        <f>'Interventions cost'!AU26/'National data'!$Q28</f>
        <v>6541634.0172578469</v>
      </c>
      <c r="AW27" s="234">
        <f>'Interventions cost'!AV26/'National data'!$Q28</f>
        <v>2177182.0999655942</v>
      </c>
      <c r="AX27" s="234">
        <f>'Interventions cost'!AW26/'National data'!$Q28</f>
        <v>5026623.4278334239</v>
      </c>
      <c r="AY27" s="234">
        <f>'Interventions cost'!AX26/'National data'!$Q28</f>
        <v>311163.04890907073</v>
      </c>
      <c r="AZ27" s="235">
        <f>'Interventions cost'!AY26/'National data'!$Q28</f>
        <v>3747491.2187260576</v>
      </c>
      <c r="BA27" s="234">
        <f>'Interventions cost'!AZ26/'National data'!$Q28</f>
        <v>900464.71533243463</v>
      </c>
      <c r="BB27" s="234">
        <f>'Interventions cost'!BA26/'National data'!$Q28</f>
        <v>2078970.3507570173</v>
      </c>
      <c r="BC27" s="234">
        <f>'Interventions cost'!BB26/'National data'!$Q28</f>
        <v>128694.492877884</v>
      </c>
      <c r="BD27" s="235">
        <f>'Interventions cost'!BC26/'National data'!$Q28</f>
        <v>1549931.7275914971</v>
      </c>
      <c r="BE27" s="234">
        <f>'Interventions cost'!BD26/'National data'!$Q28</f>
        <v>770492.10558408557</v>
      </c>
      <c r="BF27" s="234">
        <f>'Interventions cost'!BE26/'National data'!$Q28</f>
        <v>1778892.849133231</v>
      </c>
      <c r="BG27" s="234">
        <f>'Interventions cost'!BF26/'National data'!$Q28</f>
        <v>110118.79655711957</v>
      </c>
      <c r="BH27" s="235">
        <f>'Interventions cost'!BG26/'National data'!$Q28</f>
        <v>1326215.3863104694</v>
      </c>
      <c r="BI27" s="234">
        <f>'Interventions cost'!BH26/'National data'!$Q28</f>
        <v>45889.219618509866</v>
      </c>
      <c r="BJ27" s="234">
        <f>'Interventions cost'!BI26/'National data'!$Q28</f>
        <v>105947.87933588102</v>
      </c>
      <c r="BK27" s="234">
        <f>'Interventions cost'!BJ26/'National data'!$Q28</f>
        <v>6558.4911288675021</v>
      </c>
      <c r="BL27" s="234">
        <f>'Interventions cost'!BK26/'National data'!$Q28</f>
        <v>78987.167659184241</v>
      </c>
      <c r="BM27" s="247">
        <f>'Interventions cost'!CF26/'National data'!$Q28</f>
        <v>3341419.0925644073</v>
      </c>
      <c r="BN27" s="234">
        <f>'Interventions cost'!CG26/'National data'!$Q28</f>
        <v>7714584.5968325613</v>
      </c>
      <c r="BO27" s="234">
        <f>'Interventions cost'!CH26/'National data'!$Q28</f>
        <v>477555.89784692408</v>
      </c>
      <c r="BP27" s="235">
        <f>'Interventions cost'!CI26/'National data'!$Q28</f>
        <v>5751442.9811206814</v>
      </c>
      <c r="BQ27" s="26"/>
      <c r="BR27" s="26"/>
      <c r="BS27" s="26"/>
      <c r="BT27" s="26"/>
      <c r="BU27" s="26"/>
      <c r="BV27" s="26"/>
    </row>
    <row r="28" spans="1:74">
      <c r="A28" s="9">
        <v>26</v>
      </c>
      <c r="B28" s="1" t="s">
        <v>439</v>
      </c>
      <c r="C28" s="1" t="s">
        <v>440</v>
      </c>
      <c r="D28" s="135"/>
      <c r="E28" s="1">
        <f t="shared" si="8"/>
        <v>1.82</v>
      </c>
      <c r="F28" s="1">
        <f t="shared" si="8"/>
        <v>1.78</v>
      </c>
      <c r="G28" s="1">
        <f t="shared" si="8"/>
        <v>0.94</v>
      </c>
      <c r="H28" s="1">
        <f t="shared" si="8"/>
        <v>4.1900000000000004</v>
      </c>
      <c r="I28" s="1">
        <f t="shared" si="8"/>
        <v>8.31</v>
      </c>
      <c r="J28" s="1">
        <f t="shared" si="11"/>
        <v>4.13</v>
      </c>
      <c r="K28" s="180">
        <f t="shared" si="9"/>
        <v>3.5283333333333329</v>
      </c>
      <c r="L28" s="135"/>
      <c r="M28" s="114">
        <f t="shared" si="10"/>
        <v>0.20760000000000001</v>
      </c>
      <c r="N28" s="114">
        <f t="shared" si="10"/>
        <v>0.12889999999999999</v>
      </c>
      <c r="O28" s="114">
        <f t="shared" si="10"/>
        <v>3.61E-2</v>
      </c>
      <c r="P28" s="114">
        <f t="shared" si="10"/>
        <v>0.31319999999999998</v>
      </c>
      <c r="Q28" s="114">
        <f t="shared" si="10"/>
        <v>6.0199999999999997E-2</v>
      </c>
      <c r="R28" s="154">
        <f t="shared" si="10"/>
        <v>0.25390000000000001</v>
      </c>
      <c r="S28" s="185">
        <f t="shared" si="12"/>
        <v>0.377832</v>
      </c>
      <c r="T28" s="140">
        <f t="shared" si="12"/>
        <v>0.22944199999999998</v>
      </c>
      <c r="U28" s="140">
        <f t="shared" si="12"/>
        <v>3.3933999999999999E-2</v>
      </c>
      <c r="V28" s="140">
        <f t="shared" si="12"/>
        <v>1.312308</v>
      </c>
      <c r="W28" s="140">
        <f t="shared" si="12"/>
        <v>0.50026199999999998</v>
      </c>
      <c r="X28" s="186">
        <f t="shared" si="12"/>
        <v>1.0486070000000001</v>
      </c>
      <c r="Y28" s="78">
        <f>'Interventions cost'!D27/'National data'!Q29</f>
        <v>3282613.8545089699</v>
      </c>
      <c r="Z28" s="118">
        <f>'Interventions cost'!E27/'National data'!Q29</f>
        <v>7578816.5380682303</v>
      </c>
      <c r="AA28" s="118">
        <f>'Interventions cost'!F27/'National data'!Q29</f>
        <v>469151.44827633339</v>
      </c>
      <c r="AB28" s="178">
        <f>'Interventions cost'!G27/'National data'!$Q29</f>
        <v>5650224.0186685612</v>
      </c>
      <c r="AC28" s="247">
        <f>'Interventions cost'!H27/'National data'!$Q29</f>
        <v>851618.32534233865</v>
      </c>
      <c r="AD28" s="234">
        <f>'Interventions cost'!I27/'National data'!$Q29</f>
        <v>1966195.0306341916</v>
      </c>
      <c r="AE28" s="234">
        <f>'Interventions cost'!J27/'National data'!$Q29</f>
        <v>121713.3627107014</v>
      </c>
      <c r="AF28" s="235">
        <f>'Interventions cost'!K27/'National data'!$Q29</f>
        <v>1465854.5079793914</v>
      </c>
      <c r="AG28" s="247">
        <f>'Interventions cost'!L27/'National data'!$Q29</f>
        <v>746705.93260742503</v>
      </c>
      <c r="AH28" s="234">
        <f>'Interventions cost'!M27/'National data'!$Q29</f>
        <v>1723975.9295311139</v>
      </c>
      <c r="AI28" s="234">
        <f>'Interventions cost'!N27/'National data'!$Q29</f>
        <v>106719.27471399344</v>
      </c>
      <c r="AJ28" s="235">
        <f>'Interventions cost'!O27/'National data'!$Q29</f>
        <v>1285273.2554898357</v>
      </c>
      <c r="AK28" s="247">
        <f>'Interventions cost'!P27/'National data'!$Q29</f>
        <v>1595738.4086520136</v>
      </c>
      <c r="AL28" s="234">
        <f>'Interventions cost'!Q27/'National data'!$Q29</f>
        <v>3684200.8161607594</v>
      </c>
      <c r="AM28" s="234">
        <f>'Interventions cost'!R27/'National data'!$Q29</f>
        <v>228063.0676254943</v>
      </c>
      <c r="AN28" s="235">
        <f>'Interventions cost'!S27/'National data'!$Q29</f>
        <v>2746676.8507337137</v>
      </c>
      <c r="AO28" s="247">
        <f>'Interventions cost'!T27/'National data'!$Q29</f>
        <v>93494.00442621125</v>
      </c>
      <c r="AP28" s="234">
        <f>'Interventions cost'!U27/'National data'!$Q29</f>
        <v>215856.61255353052</v>
      </c>
      <c r="AQ28" s="234">
        <f>'Interventions cost'!V27/'National data'!$Q29</f>
        <v>13362.170978917095</v>
      </c>
      <c r="AR28" s="235">
        <f>'Interventions cost'!W27/'National data'!$Q29</f>
        <v>160927.26492483038</v>
      </c>
      <c r="AS28" s="118">
        <f>'Interventions cost'!AR27/'National data'!$Q29</f>
        <v>913117.14160290943</v>
      </c>
      <c r="AT28" s="118">
        <f>'Interventions cost'!AS27/'National data'!$Q29</f>
        <v>2108181.9552025567</v>
      </c>
      <c r="AU28" s="118">
        <f>'Interventions cost'!AT27/'National data'!$Q29</f>
        <v>130502.77870499987</v>
      </c>
      <c r="AV28" s="178">
        <f>'Interventions cost'!AU27/'National data'!$Q29</f>
        <v>1571709.8123667364</v>
      </c>
      <c r="AW28" s="234">
        <f>'Interventions cost'!AV27/'National data'!$Q29</f>
        <v>644872.93137003493</v>
      </c>
      <c r="AX28" s="234">
        <f>'Interventions cost'!AW27/'National data'!$Q29</f>
        <v>1488866.4502851909</v>
      </c>
      <c r="AY28" s="234">
        <f>'Interventions cost'!AX27/'National data'!$Q29</f>
        <v>92165.293609202912</v>
      </c>
      <c r="AZ28" s="235">
        <f>'Interventions cost'!AY27/'National data'!$Q29</f>
        <v>1109992.4289941234</v>
      </c>
      <c r="BA28" s="234">
        <f>'Interventions cost'!AZ27/'National data'!$Q29</f>
        <v>169021.35716042333</v>
      </c>
      <c r="BB28" s="234">
        <f>'Interventions cost'!BA27/'National data'!$Q29</f>
        <v>390232.27029113017</v>
      </c>
      <c r="BC28" s="234">
        <f>'Interventions cost'!BB27/'National data'!$Q29</f>
        <v>24156.546586350043</v>
      </c>
      <c r="BD28" s="235">
        <f>'Interventions cost'!BC27/'National data'!$Q29</f>
        <v>290929.29422203888</v>
      </c>
      <c r="BE28" s="234">
        <f>'Interventions cost'!BD27/'National data'!$Q29</f>
        <v>164373.59154195496</v>
      </c>
      <c r="BF28" s="234">
        <f>'Interventions cost'!BE27/'National data'!$Q29</f>
        <v>379501.62559896556</v>
      </c>
      <c r="BG28" s="234">
        <f>'Interventions cost'!BF27/'National data'!$Q29</f>
        <v>23492.287533108592</v>
      </c>
      <c r="BH28" s="235">
        <f>'Interventions cost'!BG27/'National data'!$Q29</f>
        <v>282929.2923654269</v>
      </c>
      <c r="BI28" s="234">
        <f>'Interventions cost'!BH27/'National data'!$Q29</f>
        <v>16059.4416665966</v>
      </c>
      <c r="BJ28" s="234">
        <f>'Interventions cost'!BI27/'National data'!$Q29</f>
        <v>37077.636142844633</v>
      </c>
      <c r="BK28" s="234">
        <f>'Interventions cost'!BJ27/'National data'!$Q29</f>
        <v>2295.2167541863096</v>
      </c>
      <c r="BL28" s="234">
        <f>'Interventions cost'!BK27/'National data'!$Q29</f>
        <v>27642.435891864614</v>
      </c>
      <c r="BM28" s="247">
        <f>'Interventions cost'!CF27/'National data'!$Q29</f>
        <v>677105.6469624989</v>
      </c>
      <c r="BN28" s="234">
        <f>'Interventions cost'!CG27/'National data'!$Q29</f>
        <v>1563284.5356361275</v>
      </c>
      <c r="BO28" s="234">
        <f>'Interventions cost'!CH27/'National data'!$Q29</f>
        <v>96771.996033648</v>
      </c>
      <c r="BP28" s="235">
        <f>'Interventions cost'!CI27/'National data'!$Q29</f>
        <v>1165473.2354183367</v>
      </c>
      <c r="BQ28" s="26"/>
      <c r="BR28" s="26"/>
      <c r="BS28" s="26"/>
      <c r="BT28" s="26"/>
      <c r="BU28" s="26"/>
      <c r="BV28" s="26"/>
    </row>
    <row r="29" spans="1:74">
      <c r="A29" s="9">
        <v>27</v>
      </c>
      <c r="B29" s="1" t="s">
        <v>444</v>
      </c>
      <c r="C29" s="1" t="s">
        <v>445</v>
      </c>
      <c r="D29" s="135"/>
      <c r="E29" s="1">
        <f t="shared" si="8"/>
        <v>1.82</v>
      </c>
      <c r="F29" s="1">
        <f t="shared" si="8"/>
        <v>1.78</v>
      </c>
      <c r="G29" s="1">
        <f t="shared" si="8"/>
        <v>0.94</v>
      </c>
      <c r="H29" s="1">
        <f t="shared" si="8"/>
        <v>4.1900000000000004</v>
      </c>
      <c r="I29" s="1">
        <f t="shared" si="8"/>
        <v>8.31</v>
      </c>
      <c r="J29" s="1">
        <f t="shared" si="11"/>
        <v>4.13</v>
      </c>
      <c r="K29" s="180">
        <f t="shared" si="9"/>
        <v>3.5283333333333329</v>
      </c>
      <c r="L29" s="135"/>
      <c r="M29" s="114">
        <f t="shared" si="10"/>
        <v>0.20760000000000001</v>
      </c>
      <c r="N29" s="114">
        <f t="shared" si="10"/>
        <v>0.12889999999999999</v>
      </c>
      <c r="O29" s="114">
        <f t="shared" si="10"/>
        <v>3.61E-2</v>
      </c>
      <c r="P29" s="114">
        <f t="shared" si="10"/>
        <v>0.31319999999999998</v>
      </c>
      <c r="Q29" s="114">
        <f t="shared" si="10"/>
        <v>6.0199999999999997E-2</v>
      </c>
      <c r="R29" s="154">
        <f t="shared" si="10"/>
        <v>0.25390000000000001</v>
      </c>
      <c r="S29" s="185">
        <f t="shared" si="12"/>
        <v>0.377832</v>
      </c>
      <c r="T29" s="140">
        <f t="shared" si="12"/>
        <v>0.22944199999999998</v>
      </c>
      <c r="U29" s="140">
        <f t="shared" si="12"/>
        <v>3.3933999999999999E-2</v>
      </c>
      <c r="V29" s="140">
        <f t="shared" si="12"/>
        <v>1.312308</v>
      </c>
      <c r="W29" s="140">
        <f t="shared" si="12"/>
        <v>0.50026199999999998</v>
      </c>
      <c r="X29" s="186">
        <f t="shared" si="12"/>
        <v>1.0486070000000001</v>
      </c>
      <c r="Y29" s="78">
        <f>'Interventions cost'!D28/'National data'!Q30</f>
        <v>2341764.4231880121</v>
      </c>
      <c r="Z29" s="118">
        <f>'Interventions cost'!E28/'National data'!Q30</f>
        <v>5406606.9679011712</v>
      </c>
      <c r="AA29" s="118">
        <f>'Interventions cost'!F28/'National data'!Q30</f>
        <v>334685.16839151311</v>
      </c>
      <c r="AB29" s="178">
        <f>'Interventions cost'!G28/'National data'!$Q30</f>
        <v>4030779.7920811712</v>
      </c>
      <c r="AC29" s="247">
        <f>'Interventions cost'!H28/'National data'!$Q30</f>
        <v>582144.92731708509</v>
      </c>
      <c r="AD29" s="234">
        <f>'Interventions cost'!I28/'National data'!$Q30</f>
        <v>1344041.6077702863</v>
      </c>
      <c r="AE29" s="234">
        <f>'Interventions cost'!J28/'National data'!$Q30</f>
        <v>83200.20199219721</v>
      </c>
      <c r="AF29" s="235">
        <f>'Interventions cost'!K28/'National data'!$Q30</f>
        <v>1002021.3757871563</v>
      </c>
      <c r="AG29" s="247">
        <f>'Interventions cost'!L28/'National data'!$Q30</f>
        <v>537362.18177775049</v>
      </c>
      <c r="AH29" s="234">
        <f>'Interventions cost'!M28/'National data'!$Q30</f>
        <v>1240648.3280376084</v>
      </c>
      <c r="AI29" s="234">
        <f>'Interventions cost'!N28/'National data'!$Q30</f>
        <v>76799.848231821059</v>
      </c>
      <c r="AJ29" s="235">
        <f>'Interventions cost'!O28/'National data'!$Q30</f>
        <v>924938.73503710062</v>
      </c>
      <c r="AK29" s="247">
        <f>'Interventions cost'!P28/'National data'!$Q30</f>
        <v>1414803.277276197</v>
      </c>
      <c r="AL29" s="234">
        <f>'Interventions cost'!Q28/'National data'!$Q30</f>
        <v>3266462.3227631822</v>
      </c>
      <c r="AM29" s="234">
        <f>'Interventions cost'!R28/'National data'!$Q30</f>
        <v>202203.80342588873</v>
      </c>
      <c r="AN29" s="235">
        <f>'Interventions cost'!S28/'National data'!$Q30</f>
        <v>2435240.8821940883</v>
      </c>
      <c r="AO29" s="247">
        <f>'Interventions cost'!T28/'National data'!$Q30</f>
        <v>48741.105862092285</v>
      </c>
      <c r="AP29" s="234">
        <f>'Interventions cost'!U28/'National data'!$Q30</f>
        <v>112532.24276865672</v>
      </c>
      <c r="AQ29" s="234">
        <f>'Interventions cost'!V28/'National data'!$Q30</f>
        <v>6966.0829507500011</v>
      </c>
      <c r="AR29" s="235">
        <f>'Interventions cost'!W28/'National data'!$Q30</f>
        <v>83895.998507462675</v>
      </c>
      <c r="AS29" s="118">
        <f>'Interventions cost'!AR28/'National data'!$Q30</f>
        <v>568056.00142940506</v>
      </c>
      <c r="AT29" s="118">
        <f>'Interventions cost'!AS28/'National data'!$Q30</f>
        <v>1311513.4490365083</v>
      </c>
      <c r="AU29" s="118">
        <f>'Interventions cost'!AT28/'National data'!$Q30</f>
        <v>81186.611518927341</v>
      </c>
      <c r="AV29" s="178">
        <f>'Interventions cost'!AU28/'National data'!$Q30</f>
        <v>977770.70513990207</v>
      </c>
      <c r="AW29" s="234">
        <f>'Interventions cost'!AV28/'National data'!$Q30</f>
        <v>368621.34430053091</v>
      </c>
      <c r="AX29" s="234">
        <f>'Interventions cost'!AW28/'National data'!$Q30</f>
        <v>851063.71455551696</v>
      </c>
      <c r="AY29" s="234">
        <f>'Interventions cost'!AX28/'National data'!$Q30</f>
        <v>52683.393542196623</v>
      </c>
      <c r="AZ29" s="235">
        <f>'Interventions cost'!AY28/'National data'!$Q30</f>
        <v>634492.28744948085</v>
      </c>
      <c r="BA29" s="234">
        <f>'Interventions cost'!AZ28/'National data'!$Q30</f>
        <v>132966.74394895093</v>
      </c>
      <c r="BB29" s="234">
        <f>'Interventions cost'!BA28/'National data'!$Q30</f>
        <v>306990.28357209393</v>
      </c>
      <c r="BC29" s="234">
        <f>'Interventions cost'!BB28/'National data'!$Q30</f>
        <v>19003.6182326325</v>
      </c>
      <c r="BD29" s="235">
        <f>'Interventions cost'!BC28/'National data'!$Q30</f>
        <v>228870.01750527159</v>
      </c>
      <c r="BE29" s="234">
        <f>'Interventions cost'!BD28/'National data'!$Q30</f>
        <v>174138.95094984511</v>
      </c>
      <c r="BF29" s="234">
        <f>'Interventions cost'!BE28/'National data'!$Q30</f>
        <v>402047.64248092048</v>
      </c>
      <c r="BG29" s="234">
        <f>'Interventions cost'!BF28/'National data'!$Q30</f>
        <v>24887.953521314172</v>
      </c>
      <c r="BH29" s="235">
        <f>'Interventions cost'!BG28/'National data'!$Q30</f>
        <v>299737.99138483853</v>
      </c>
      <c r="BI29" s="234">
        <f>'Interventions cost'!BH28/'National data'!$Q30</f>
        <v>7627.4513657000853</v>
      </c>
      <c r="BJ29" s="234">
        <f>'Interventions cost'!BI28/'National data'!$Q30</f>
        <v>17610.068413705027</v>
      </c>
      <c r="BK29" s="234">
        <f>'Interventions cost'!BJ28/'National data'!$Q30</f>
        <v>1090.1159909381947</v>
      </c>
      <c r="BL29" s="234">
        <f>'Interventions cost'!BK28/'National data'!$Q30</f>
        <v>13128.808570800233</v>
      </c>
      <c r="BM29" s="247">
        <f>'Interventions cost'!CF28/'National data'!$Q30</f>
        <v>726567.41805092234</v>
      </c>
      <c r="BN29" s="234">
        <f>'Interventions cost'!CG28/'National data'!$Q30</f>
        <v>1677480.6322047762</v>
      </c>
      <c r="BO29" s="234">
        <f>'Interventions cost'!CH28/'National data'!$Q30</f>
        <v>103841.07651918</v>
      </c>
      <c r="BP29" s="235">
        <f>'Interventions cost'!CI28/'National data'!$Q30</f>
        <v>1250609.6844179104</v>
      </c>
      <c r="BQ29" s="26"/>
      <c r="BR29" s="26"/>
      <c r="BS29" s="26"/>
      <c r="BT29" s="26"/>
      <c r="BU29" s="26"/>
      <c r="BV29" s="26"/>
    </row>
    <row r="30" spans="1:74">
      <c r="A30" s="9">
        <v>28</v>
      </c>
      <c r="B30" s="1" t="s">
        <v>449</v>
      </c>
      <c r="C30" s="1" t="s">
        <v>450</v>
      </c>
      <c r="D30" s="135"/>
      <c r="E30" s="1">
        <f t="shared" si="8"/>
        <v>1.82</v>
      </c>
      <c r="F30" s="1">
        <f t="shared" si="8"/>
        <v>1.78</v>
      </c>
      <c r="G30" s="1">
        <f t="shared" si="8"/>
        <v>0.94</v>
      </c>
      <c r="H30" s="1">
        <f t="shared" si="8"/>
        <v>4.1900000000000004</v>
      </c>
      <c r="I30" s="1">
        <f t="shared" si="8"/>
        <v>8.31</v>
      </c>
      <c r="J30" s="1">
        <f t="shared" si="11"/>
        <v>4.13</v>
      </c>
      <c r="K30" s="180">
        <f t="shared" si="9"/>
        <v>3.5283333333333329</v>
      </c>
      <c r="L30" s="135"/>
      <c r="M30" s="114">
        <f t="shared" si="10"/>
        <v>0.20760000000000001</v>
      </c>
      <c r="N30" s="114">
        <f t="shared" si="10"/>
        <v>0.12889999999999999</v>
      </c>
      <c r="O30" s="114">
        <f t="shared" si="10"/>
        <v>3.61E-2</v>
      </c>
      <c r="P30" s="114">
        <f t="shared" si="10"/>
        <v>0.31319999999999998</v>
      </c>
      <c r="Q30" s="114">
        <f t="shared" si="10"/>
        <v>6.0199999999999997E-2</v>
      </c>
      <c r="R30" s="154">
        <f t="shared" si="10"/>
        <v>0.25390000000000001</v>
      </c>
      <c r="S30" s="185">
        <f t="shared" si="12"/>
        <v>0.377832</v>
      </c>
      <c r="T30" s="140">
        <f t="shared" si="12"/>
        <v>0.22944199999999998</v>
      </c>
      <c r="U30" s="140">
        <f t="shared" si="12"/>
        <v>3.3933999999999999E-2</v>
      </c>
      <c r="V30" s="140">
        <f t="shared" si="12"/>
        <v>1.312308</v>
      </c>
      <c r="W30" s="140">
        <f t="shared" si="12"/>
        <v>0.50026199999999998</v>
      </c>
      <c r="X30" s="186">
        <f t="shared" si="12"/>
        <v>1.0486070000000001</v>
      </c>
      <c r="Y30" s="78">
        <f>'Interventions cost'!D29/'National data'!Q31</f>
        <v>4558703.6262935819</v>
      </c>
      <c r="Z30" s="118">
        <f>'Interventions cost'!E29/'National data'!Q31</f>
        <v>10525020.598340679</v>
      </c>
      <c r="AA30" s="118">
        <f>'Interventions cost'!F29/'National data'!Q31</f>
        <v>651530.30582639982</v>
      </c>
      <c r="AB30" s="178">
        <f>'Interventions cost'!G29/'National data'!$Q31</f>
        <v>7846703.2264227225</v>
      </c>
      <c r="AC30" s="247">
        <f>'Interventions cost'!H29/'National data'!$Q31</f>
        <v>1026424.2318717641</v>
      </c>
      <c r="AD30" s="234">
        <f>'Interventions cost'!I29/'National data'!$Q31</f>
        <v>2369782.5234297439</v>
      </c>
      <c r="AE30" s="234">
        <f>'Interventions cost'!J29/'National data'!$Q31</f>
        <v>146696.63757956497</v>
      </c>
      <c r="AF30" s="235">
        <f>'Interventions cost'!K29/'National data'!$Q31</f>
        <v>1766740.5017191074</v>
      </c>
      <c r="AG30" s="247">
        <f>'Interventions cost'!L29/'National data'!$Q31</f>
        <v>568793.02899007231</v>
      </c>
      <c r="AH30" s="234">
        <f>'Interventions cost'!M29/'National data'!$Q31</f>
        <v>1313215.0797836408</v>
      </c>
      <c r="AI30" s="234">
        <f>'Interventions cost'!N29/'National data'!$Q31</f>
        <v>81291.947559909298</v>
      </c>
      <c r="AJ30" s="235">
        <f>'Interventions cost'!O29/'National data'!$Q31</f>
        <v>979039.3194242114</v>
      </c>
      <c r="AK30" s="247">
        <f>'Interventions cost'!P29/'National data'!$Q31</f>
        <v>2588265.1993840351</v>
      </c>
      <c r="AL30" s="234">
        <f>'Interventions cost'!Q29/'National data'!$Q31</f>
        <v>5975721.7776479693</v>
      </c>
      <c r="AM30" s="234">
        <f>'Interventions cost'!R29/'National data'!$Q31</f>
        <v>369915.08006533183</v>
      </c>
      <c r="AN30" s="235">
        <f>'Interventions cost'!S29/'National data'!$Q31</f>
        <v>4455071.1245417641</v>
      </c>
      <c r="AO30" s="247">
        <f>'Interventions cost'!T29/'National data'!$Q31</f>
        <v>43246.865853594078</v>
      </c>
      <c r="AP30" s="234">
        <f>'Interventions cost'!U29/'National data'!$Q31</f>
        <v>99847.279234695437</v>
      </c>
      <c r="AQ30" s="234">
        <f>'Interventions cost'!V29/'National data'!$Q31</f>
        <v>6180.8457064655113</v>
      </c>
      <c r="AR30" s="235">
        <f>'Interventions cost'!W29/'National data'!$Q31</f>
        <v>74438.996180580696</v>
      </c>
      <c r="AS30" s="118">
        <f>'Interventions cost'!AR29/'National data'!$Q31</f>
        <v>1325517.183995988</v>
      </c>
      <c r="AT30" s="118">
        <f>'Interventions cost'!AS29/'National data'!$Q31</f>
        <v>3060320.8299275069</v>
      </c>
      <c r="AU30" s="118">
        <f>'Interventions cost'!AT29/'National data'!$Q31</f>
        <v>189443.02746200017</v>
      </c>
      <c r="AV30" s="178">
        <f>'Interventions cost'!AU29/'National data'!$Q31</f>
        <v>2281556.5162757649</v>
      </c>
      <c r="AW30" s="234">
        <f>'Interventions cost'!AV29/'National data'!$Q31</f>
        <v>838533.04185630195</v>
      </c>
      <c r="AX30" s="234">
        <f>'Interventions cost'!AW29/'National data'!$Q31</f>
        <v>1935984.0563055894</v>
      </c>
      <c r="AY30" s="234">
        <f>'Interventions cost'!AX29/'National data'!$Q31</f>
        <v>119843.21289391803</v>
      </c>
      <c r="AZ30" s="235">
        <f>'Interventions cost'!AY29/'National data'!$Q31</f>
        <v>1443331.3644356162</v>
      </c>
      <c r="BA30" s="234">
        <f>'Interventions cost'!AZ29/'National data'!$Q31</f>
        <v>85490.832771040339</v>
      </c>
      <c r="BB30" s="234">
        <f>'Interventions cost'!BA29/'National data'!$Q31</f>
        <v>197379.09055870507</v>
      </c>
      <c r="BC30" s="234">
        <f>'Interventions cost'!BB29/'National data'!$Q31</f>
        <v>12218.357012595676</v>
      </c>
      <c r="BD30" s="235">
        <f>'Interventions cost'!BC29/'National data'!$Q31</f>
        <v>147151.74495331114</v>
      </c>
      <c r="BE30" s="234">
        <f>'Interventions cost'!BD29/'National data'!$Q31</f>
        <v>191175.31943992799</v>
      </c>
      <c r="BF30" s="234">
        <f>'Interventions cost'!BE29/'National data'!$Q31</f>
        <v>441380.78277212853</v>
      </c>
      <c r="BG30" s="234">
        <f>'Interventions cost'!BF29/'National data'!$Q31</f>
        <v>27322.792739309029</v>
      </c>
      <c r="BH30" s="235">
        <f>'Interventions cost'!BG29/'National data'!$Q31</f>
        <v>329061.9699884546</v>
      </c>
      <c r="BI30" s="234">
        <f>'Interventions cost'!BH29/'National data'!$Q31</f>
        <v>11946.454470104338</v>
      </c>
      <c r="BJ30" s="234">
        <f>'Interventions cost'!BI29/'National data'!$Q31</f>
        <v>27581.674458889207</v>
      </c>
      <c r="BK30" s="234">
        <f>'Interventions cost'!BJ29/'National data'!$Q31</f>
        <v>1707.3882780084434</v>
      </c>
      <c r="BL30" s="234">
        <f>'Interventions cost'!BK29/'National data'!$Q31</f>
        <v>20562.925454115273</v>
      </c>
      <c r="BM30" s="247">
        <f>'Interventions cost'!CF29/'National data'!$Q31</f>
        <v>1147076.3994732227</v>
      </c>
      <c r="BN30" s="234">
        <f>'Interventions cost'!CG29/'National data'!$Q31</f>
        <v>2648341.2219850742</v>
      </c>
      <c r="BO30" s="234">
        <f>'Interventions cost'!CH29/'National data'!$Q31</f>
        <v>163940.25552450004</v>
      </c>
      <c r="BP30" s="235">
        <f>'Interventions cost'!CI29/'National data'!$Q31</f>
        <v>1974413.9611940295</v>
      </c>
      <c r="BQ30" s="26"/>
      <c r="BR30" s="26"/>
      <c r="BS30" s="26"/>
      <c r="BT30" s="26"/>
      <c r="BU30" s="26"/>
      <c r="BV30" s="26"/>
    </row>
    <row r="31" spans="1:74">
      <c r="A31" s="9">
        <v>29</v>
      </c>
      <c r="B31" s="1" t="s">
        <v>454</v>
      </c>
      <c r="C31" s="1" t="s">
        <v>455</v>
      </c>
      <c r="D31" s="135"/>
      <c r="E31" s="1">
        <f t="shared" si="8"/>
        <v>1.82</v>
      </c>
      <c r="F31" s="1">
        <f t="shared" si="8"/>
        <v>1.78</v>
      </c>
      <c r="G31" s="1">
        <f t="shared" si="8"/>
        <v>0.94</v>
      </c>
      <c r="H31" s="1">
        <f t="shared" si="8"/>
        <v>4.1900000000000004</v>
      </c>
      <c r="I31" s="1">
        <f t="shared" si="8"/>
        <v>8.31</v>
      </c>
      <c r="J31" s="1">
        <f t="shared" si="11"/>
        <v>4.13</v>
      </c>
      <c r="K31" s="180">
        <f t="shared" si="9"/>
        <v>3.5283333333333329</v>
      </c>
      <c r="L31" s="135"/>
      <c r="M31" s="114">
        <f t="shared" si="10"/>
        <v>0.20760000000000001</v>
      </c>
      <c r="N31" s="114">
        <f t="shared" si="10"/>
        <v>0.12889999999999999</v>
      </c>
      <c r="O31" s="114">
        <f t="shared" si="10"/>
        <v>3.61E-2</v>
      </c>
      <c r="P31" s="114">
        <f t="shared" si="10"/>
        <v>0.31319999999999998</v>
      </c>
      <c r="Q31" s="114">
        <f t="shared" si="10"/>
        <v>6.0199999999999997E-2</v>
      </c>
      <c r="R31" s="154">
        <f t="shared" si="10"/>
        <v>0.25390000000000001</v>
      </c>
      <c r="S31" s="185">
        <f t="shared" si="12"/>
        <v>0.377832</v>
      </c>
      <c r="T31" s="140">
        <f t="shared" si="12"/>
        <v>0.22944199999999998</v>
      </c>
      <c r="U31" s="140">
        <f t="shared" si="12"/>
        <v>3.3933999999999999E-2</v>
      </c>
      <c r="V31" s="140">
        <f t="shared" si="12"/>
        <v>1.312308</v>
      </c>
      <c r="W31" s="140">
        <f t="shared" si="12"/>
        <v>0.50026199999999998</v>
      </c>
      <c r="X31" s="186">
        <f t="shared" si="12"/>
        <v>1.0486070000000001</v>
      </c>
      <c r="Y31" s="78">
        <f>'Interventions cost'!D30/'National data'!Q32</f>
        <v>4003327.1782181733</v>
      </c>
      <c r="Z31" s="118">
        <f>'Interventions cost'!E30/'National data'!Q32</f>
        <v>9242781.3840797879</v>
      </c>
      <c r="AA31" s="118">
        <f>'Interventions cost'!F30/'National data'!Q32</f>
        <v>572155.85713964782</v>
      </c>
      <c r="AB31" s="178">
        <f>'Interventions cost'!G30/'National data'!$Q32</f>
        <v>6890757.2987565193</v>
      </c>
      <c r="AC31" s="247">
        <f>'Interventions cost'!H30/'National data'!$Q32</f>
        <v>506612.34686169616</v>
      </c>
      <c r="AD31" s="234">
        <f>'Interventions cost'!I30/'National data'!$Q32</f>
        <v>1169653.8804011468</v>
      </c>
      <c r="AE31" s="234">
        <f>'Interventions cost'!J30/'National data'!$Q32</f>
        <v>72405.079238413804</v>
      </c>
      <c r="AF31" s="235">
        <f>'Interventions cost'!K30/'National data'!$Q32</f>
        <v>872010.34823518328</v>
      </c>
      <c r="AG31" s="247">
        <f>'Interventions cost'!L30/'National data'!$Q32</f>
        <v>923762.97879010602</v>
      </c>
      <c r="AH31" s="234">
        <f>'Interventions cost'!M30/'National data'!$Q32</f>
        <v>2132760.7970986515</v>
      </c>
      <c r="AI31" s="234">
        <f>'Interventions cost'!N30/'National data'!$Q32</f>
        <v>132024.28265150485</v>
      </c>
      <c r="AJ31" s="235">
        <f>'Interventions cost'!O30/'National data'!$Q32</f>
        <v>1590034.0404483636</v>
      </c>
      <c r="AK31" s="247">
        <f>'Interventions cost'!P30/'National data'!$Q32</f>
        <v>2046517.7572973201</v>
      </c>
      <c r="AL31" s="234">
        <f>'Interventions cost'!Q30/'National data'!$Q32</f>
        <v>4724948.870593044</v>
      </c>
      <c r="AM31" s="234">
        <f>'Interventions cost'!R30/'National data'!$Q32</f>
        <v>292488.49006119004</v>
      </c>
      <c r="AN31" s="235">
        <f>'Interventions cost'!S30/'National data'!$Q32</f>
        <v>3522584.2269049739</v>
      </c>
      <c r="AO31" s="247">
        <f>'Interventions cost'!T30/'National data'!$Q32</f>
        <v>33230.952775779762</v>
      </c>
      <c r="AP31" s="234">
        <f>'Interventions cost'!U30/'National data'!$Q32</f>
        <v>76722.790323602399</v>
      </c>
      <c r="AQ31" s="234">
        <f>'Interventions cost'!V30/'National data'!$Q32</f>
        <v>4749.3705666734904</v>
      </c>
      <c r="AR31" s="235">
        <f>'Interventions cost'!W30/'National data'!$Q32</f>
        <v>57199.029754609372</v>
      </c>
      <c r="AS31" s="118">
        <f>'Interventions cost'!AR30/'National data'!$Q32</f>
        <v>858353.9149630001</v>
      </c>
      <c r="AT31" s="118">
        <f>'Interventions cost'!AS30/'National data'!$Q32</f>
        <v>1981745.9910191887</v>
      </c>
      <c r="AU31" s="118">
        <f>'Interventions cost'!AT30/'National data'!$Q32</f>
        <v>122676.01374599991</v>
      </c>
      <c r="AV31" s="178">
        <f>'Interventions cost'!AU30/'National data'!$Q32</f>
        <v>1477448.1927505322</v>
      </c>
      <c r="AW31" s="234">
        <f>'Interventions cost'!AV30/'National data'!$Q32</f>
        <v>561717.1409252974</v>
      </c>
      <c r="AX31" s="234">
        <f>'Interventions cost'!AW30/'National data'!$Q32</f>
        <v>1296878.4468856915</v>
      </c>
      <c r="AY31" s="234">
        <f>'Interventions cost'!AX30/'National data'!$Q32</f>
        <v>80280.661042346299</v>
      </c>
      <c r="AZ31" s="235">
        <f>'Interventions cost'!AY30/'National data'!$Q32</f>
        <v>966859.89337259589</v>
      </c>
      <c r="BA31" s="234">
        <f>'Interventions cost'!AZ30/'National data'!$Q32</f>
        <v>254192.018608402</v>
      </c>
      <c r="BB31" s="234">
        <f>'Interventions cost'!BA30/'National data'!$Q32</f>
        <v>586872.15732917096</v>
      </c>
      <c r="BC31" s="234">
        <f>'Interventions cost'!BB30/'National data'!$Q32</f>
        <v>36329.144686515436</v>
      </c>
      <c r="BD31" s="235">
        <f>'Interventions cost'!BC30/'National data'!$Q32</f>
        <v>437529.94185479038</v>
      </c>
      <c r="BE31" s="234">
        <f>'Interventions cost'!BD30/'National data'!$Q32</f>
        <v>222703.96631775686</v>
      </c>
      <c r="BF31" s="234">
        <f>'Interventions cost'!BE30/'National data'!$Q32</f>
        <v>514173.33193303074</v>
      </c>
      <c r="BG31" s="234">
        <f>'Interventions cost'!BF30/'National data'!$Q32</f>
        <v>31828.869603820141</v>
      </c>
      <c r="BH31" s="235">
        <f>'Interventions cost'!BG30/'National data'!$Q32</f>
        <v>383330.89279231458</v>
      </c>
      <c r="BI31" s="234">
        <f>'Interventions cost'!BH30/'National data'!$Q32</f>
        <v>7474.7795650319658</v>
      </c>
      <c r="BJ31" s="234">
        <f>'Interventions cost'!BI30/'National data'!$Q32</f>
        <v>17257.583589390142</v>
      </c>
      <c r="BK31" s="234">
        <f>'Interventions cost'!BJ30/'National data'!$Q32</f>
        <v>1068.2961243413306</v>
      </c>
      <c r="BL31" s="234">
        <f>'Interventions cost'!BK30/'National data'!$Q32</f>
        <v>12866.021074816355</v>
      </c>
      <c r="BM31" s="247">
        <f>'Interventions cost'!CF30/'National data'!$Q32</f>
        <v>585670.96356603585</v>
      </c>
      <c r="BN31" s="234">
        <f>'Interventions cost'!CG30/'National data'!$Q32</f>
        <v>1352182.431827514</v>
      </c>
      <c r="BO31" s="234">
        <f>'Interventions cost'!CH30/'National data'!$Q32</f>
        <v>83704.143389568038</v>
      </c>
      <c r="BP31" s="235">
        <f>'Interventions cost'!CI30/'National data'!$Q32</f>
        <v>1008090.5924503199</v>
      </c>
      <c r="BQ31" s="26"/>
      <c r="BR31" s="26"/>
      <c r="BS31" s="26"/>
      <c r="BT31" s="26"/>
      <c r="BU31" s="26"/>
      <c r="BV31" s="26"/>
    </row>
    <row r="32" spans="1:74">
      <c r="A32" s="9">
        <v>30</v>
      </c>
      <c r="B32" s="1" t="s">
        <v>459</v>
      </c>
      <c r="C32" s="1" t="s">
        <v>460</v>
      </c>
      <c r="D32" s="135"/>
      <c r="E32" s="1">
        <f t="shared" si="8"/>
        <v>1.82</v>
      </c>
      <c r="F32" s="1">
        <f t="shared" si="8"/>
        <v>1.78</v>
      </c>
      <c r="G32" s="1">
        <f t="shared" si="8"/>
        <v>0.94</v>
      </c>
      <c r="H32" s="1">
        <f t="shared" si="8"/>
        <v>4.1900000000000004</v>
      </c>
      <c r="I32" s="1">
        <f t="shared" si="8"/>
        <v>8.31</v>
      </c>
      <c r="J32" s="1">
        <f t="shared" si="11"/>
        <v>4.13</v>
      </c>
      <c r="K32" s="180">
        <f t="shared" si="9"/>
        <v>3.5283333333333329</v>
      </c>
      <c r="L32" s="135"/>
      <c r="M32" s="114">
        <f t="shared" si="10"/>
        <v>0.20760000000000001</v>
      </c>
      <c r="N32" s="114">
        <f t="shared" si="10"/>
        <v>0.12889999999999999</v>
      </c>
      <c r="O32" s="114">
        <f t="shared" si="10"/>
        <v>3.61E-2</v>
      </c>
      <c r="P32" s="114">
        <f t="shared" si="10"/>
        <v>0.31319999999999998</v>
      </c>
      <c r="Q32" s="114">
        <f t="shared" si="10"/>
        <v>6.0199999999999997E-2</v>
      </c>
      <c r="R32" s="154">
        <f t="shared" si="10"/>
        <v>0.25390000000000001</v>
      </c>
      <c r="S32" s="185">
        <f t="shared" si="12"/>
        <v>0.377832</v>
      </c>
      <c r="T32" s="140">
        <f t="shared" si="12"/>
        <v>0.22944199999999998</v>
      </c>
      <c r="U32" s="140">
        <f t="shared" si="12"/>
        <v>3.3933999999999999E-2</v>
      </c>
      <c r="V32" s="140">
        <f t="shared" si="12"/>
        <v>1.312308</v>
      </c>
      <c r="W32" s="140">
        <f t="shared" si="12"/>
        <v>0.50026199999999998</v>
      </c>
      <c r="X32" s="186">
        <f t="shared" si="12"/>
        <v>1.0486070000000001</v>
      </c>
      <c r="Y32" s="78">
        <f>'Interventions cost'!D31/'National data'!Q33</f>
        <v>13588949.295098634</v>
      </c>
      <c r="Z32" s="118">
        <f>'Interventions cost'!E31/'National data'!Q33</f>
        <v>31373825.316432059</v>
      </c>
      <c r="AA32" s="118">
        <f>'Interventions cost'!F31/'National data'!Q33</f>
        <v>1942133.7765915301</v>
      </c>
      <c r="AB32" s="178">
        <f>'Interventions cost'!G31/'National data'!$Q33</f>
        <v>23390082.141452711</v>
      </c>
      <c r="AC32" s="247">
        <f>'Interventions cost'!H31/'National data'!$Q33</f>
        <v>4813539.7563658236</v>
      </c>
      <c r="AD32" s="234">
        <f>'Interventions cost'!I31/'National data'!$Q33</f>
        <v>11113379.864063004</v>
      </c>
      <c r="AE32" s="234">
        <f>'Interventions cost'!J31/'National data'!$Q33</f>
        <v>687951.50697752147</v>
      </c>
      <c r="AF32" s="235">
        <f>'Interventions cost'!K31/'National data'!$Q33</f>
        <v>8285341.8500247439</v>
      </c>
      <c r="AG32" s="247">
        <f>'Interventions cost'!L31/'National data'!$Q33</f>
        <v>4890982.3266039928</v>
      </c>
      <c r="AH32" s="234">
        <f>'Interventions cost'!M31/'National data'!$Q33</f>
        <v>11292177.327939345</v>
      </c>
      <c r="AI32" s="234">
        <f>'Interventions cost'!N31/'National data'!$Q33</f>
        <v>699019.60563176067</v>
      </c>
      <c r="AJ32" s="235">
        <f>'Interventions cost'!O31/'National data'!$Q33</f>
        <v>8418640.4619909599</v>
      </c>
      <c r="AK32" s="247">
        <f>'Interventions cost'!P31/'National data'!$Q33</f>
        <v>10859289.600981493</v>
      </c>
      <c r="AL32" s="234">
        <f>'Interventions cost'!Q31/'National data'!$Q33</f>
        <v>25071655.475572776</v>
      </c>
      <c r="AM32" s="234">
        <f>'Interventions cost'!R31/'National data'!$Q33</f>
        <v>1552010.583442407</v>
      </c>
      <c r="AN32" s="235">
        <f>'Interventions cost'!S31/'National data'!$Q33</f>
        <v>18691634.669384994</v>
      </c>
      <c r="AO32" s="247">
        <f>'Interventions cost'!T31/'National data'!$Q33</f>
        <v>84051.251111852544</v>
      </c>
      <c r="AP32" s="234">
        <f>'Interventions cost'!U31/'National data'!$Q33</f>
        <v>194055.42052923579</v>
      </c>
      <c r="AQ32" s="234">
        <f>'Interventions cost'!V31/'National data'!$Q33</f>
        <v>12012.611880742199</v>
      </c>
      <c r="AR32" s="235">
        <f>'Interventions cost'!W31/'National data'!$Q33</f>
        <v>144673.85409313429</v>
      </c>
      <c r="AS32" s="118">
        <f>'Interventions cost'!AR31/'National data'!$Q33</f>
        <v>2714716.4163415181</v>
      </c>
      <c r="AT32" s="118">
        <f>'Interventions cost'!AS31/'National data'!$Q33</f>
        <v>6267669.175914092</v>
      </c>
      <c r="AU32" s="118">
        <f>'Interventions cost'!AT31/'National data'!$Q33</f>
        <v>387987.49863214552</v>
      </c>
      <c r="AV32" s="178">
        <f>'Interventions cost'!AU31/'National data'!$Q33</f>
        <v>4672726.2417471083</v>
      </c>
      <c r="AW32" s="234">
        <f>'Interventions cost'!AV31/'National data'!$Q33</f>
        <v>2462822.6010657293</v>
      </c>
      <c r="AX32" s="234">
        <f>'Interventions cost'!AW31/'National data'!$Q33</f>
        <v>5686103.0527994335</v>
      </c>
      <c r="AY32" s="234">
        <f>'Interventions cost'!AX31/'National data'!$Q33</f>
        <v>351986.81335929158</v>
      </c>
      <c r="AZ32" s="235">
        <f>'Interventions cost'!AY31/'National data'!$Q33</f>
        <v>4239152.0998265333</v>
      </c>
      <c r="BA32" s="234">
        <f>'Interventions cost'!AZ31/'National data'!$Q33</f>
        <v>458656.64482129086</v>
      </c>
      <c r="BB32" s="234">
        <f>'Interventions cost'!BA31/'National data'!$Q33</f>
        <v>1058934.9582777699</v>
      </c>
      <c r="BC32" s="234">
        <f>'Interventions cost'!BB31/'National data'!$Q33</f>
        <v>65551.24626794098</v>
      </c>
      <c r="BD32" s="235">
        <f>'Interventions cost'!BC31/'National data'!$Q33</f>
        <v>789466.23201858287</v>
      </c>
      <c r="BE32" s="234">
        <f>'Interventions cost'!BD31/'National data'!$Q33</f>
        <v>793583.13163474912</v>
      </c>
      <c r="BF32" s="234">
        <f>'Interventions cost'!BE31/'National data'!$Q33</f>
        <v>1832204.83094716</v>
      </c>
      <c r="BG32" s="234">
        <f>'Interventions cost'!BF31/'National data'!$Q33</f>
        <v>113418.96794309445</v>
      </c>
      <c r="BH32" s="235">
        <f>'Interventions cost'!BG31/'National data'!$Q33</f>
        <v>1365960.9902071778</v>
      </c>
      <c r="BI32" s="234">
        <f>'Interventions cost'!BH31/'National data'!$Q33</f>
        <v>10330.719939730288</v>
      </c>
      <c r="BJ32" s="234">
        <f>'Interventions cost'!BI31/'National data'!$Q33</f>
        <v>23851.307098407062</v>
      </c>
      <c r="BK32" s="234">
        <f>'Interventions cost'!BJ31/'National data'!$Q33</f>
        <v>1476.4673629840183</v>
      </c>
      <c r="BL32" s="234">
        <f>'Interventions cost'!BK31/'National data'!$Q33</f>
        <v>17781.830127057008</v>
      </c>
      <c r="BM32" s="247">
        <f>'Interventions cost'!CF31/'National data'!$Q33</f>
        <v>3922391.7185531193</v>
      </c>
      <c r="BN32" s="234">
        <f>'Interventions cost'!CG31/'National data'!$Q33</f>
        <v>9055919.6246976703</v>
      </c>
      <c r="BO32" s="234">
        <f>'Interventions cost'!CH31/'National data'!$Q33</f>
        <v>560588.55443463603</v>
      </c>
      <c r="BP32" s="235">
        <f>'Interventions cost'!CI31/'National data'!$Q33</f>
        <v>6751446.5243462669</v>
      </c>
      <c r="BQ32" s="26"/>
      <c r="BR32" s="26"/>
      <c r="BS32" s="26"/>
      <c r="BT32" s="26"/>
      <c r="BU32" s="26"/>
      <c r="BV32" s="26"/>
    </row>
    <row r="33" spans="1:74">
      <c r="A33" s="9">
        <v>31</v>
      </c>
      <c r="B33" s="1" t="s">
        <v>464</v>
      </c>
      <c r="C33" s="1" t="s">
        <v>465</v>
      </c>
      <c r="D33" s="135"/>
      <c r="E33" s="1">
        <f t="shared" si="8"/>
        <v>1.82</v>
      </c>
      <c r="F33" s="1">
        <f t="shared" si="8"/>
        <v>1.78</v>
      </c>
      <c r="G33" s="1">
        <f t="shared" si="8"/>
        <v>0.94</v>
      </c>
      <c r="H33" s="1">
        <f t="shared" si="8"/>
        <v>4.1900000000000004</v>
      </c>
      <c r="I33" s="1">
        <f t="shared" si="8"/>
        <v>8.31</v>
      </c>
      <c r="J33" s="1">
        <f t="shared" si="11"/>
        <v>4.13</v>
      </c>
      <c r="K33" s="180">
        <f t="shared" si="9"/>
        <v>3.5283333333333329</v>
      </c>
      <c r="L33" s="135"/>
      <c r="M33" s="114">
        <f t="shared" si="10"/>
        <v>0.20760000000000001</v>
      </c>
      <c r="N33" s="114">
        <f t="shared" si="10"/>
        <v>0.12889999999999999</v>
      </c>
      <c r="O33" s="114">
        <f t="shared" si="10"/>
        <v>3.61E-2</v>
      </c>
      <c r="P33" s="114">
        <f t="shared" si="10"/>
        <v>0.31319999999999998</v>
      </c>
      <c r="Q33" s="114">
        <f t="shared" si="10"/>
        <v>6.0199999999999997E-2</v>
      </c>
      <c r="R33" s="154">
        <f t="shared" si="10"/>
        <v>0.25390000000000001</v>
      </c>
      <c r="S33" s="185">
        <f t="shared" si="12"/>
        <v>0.377832</v>
      </c>
      <c r="T33" s="140">
        <f t="shared" si="12"/>
        <v>0.22944199999999998</v>
      </c>
      <c r="U33" s="140">
        <f t="shared" si="12"/>
        <v>3.3933999999999999E-2</v>
      </c>
      <c r="V33" s="140">
        <f t="shared" si="12"/>
        <v>1.312308</v>
      </c>
      <c r="W33" s="140">
        <f t="shared" si="12"/>
        <v>0.50026199999999998</v>
      </c>
      <c r="X33" s="186">
        <f t="shared" si="12"/>
        <v>1.0486070000000001</v>
      </c>
      <c r="Y33" s="78">
        <f>'Interventions cost'!D32/'National data'!Q34</f>
        <v>5381219.3477447107</v>
      </c>
      <c r="Z33" s="118">
        <f>'Interventions cost'!E32/'National data'!Q34</f>
        <v>12424024.267015386</v>
      </c>
      <c r="AA33" s="118">
        <f>'Interventions cost'!F32/'National data'!Q34</f>
        <v>769084.32194035838</v>
      </c>
      <c r="AB33" s="178">
        <f>'Interventions cost'!G32/'National data'!$Q34</f>
        <v>9262464.6565074828</v>
      </c>
      <c r="AC33" s="247">
        <f>'Interventions cost'!H32/'National data'!$Q34</f>
        <v>1697528.0927844283</v>
      </c>
      <c r="AD33" s="234">
        <f>'Interventions cost'!I32/'National data'!$Q34</f>
        <v>3919210.2859611236</v>
      </c>
      <c r="AE33" s="234">
        <f>'Interventions cost'!J32/'National data'!$Q34</f>
        <v>242610.85784599718</v>
      </c>
      <c r="AF33" s="235">
        <f>'Interventions cost'!K32/'National data'!$Q34</f>
        <v>2921883.117333624</v>
      </c>
      <c r="AG33" s="247">
        <f>'Interventions cost'!L32/'National data'!$Q34</f>
        <v>606557.36028495152</v>
      </c>
      <c r="AH33" s="234">
        <f>'Interventions cost'!M32/'National data'!$Q34</f>
        <v>1400404.4207332577</v>
      </c>
      <c r="AI33" s="234">
        <f>'Interventions cost'!N32/'National data'!$Q34</f>
        <v>86689.228965958217</v>
      </c>
      <c r="AJ33" s="235">
        <f>'Interventions cost'!O32/'National data'!$Q34</f>
        <v>1044041.4613722175</v>
      </c>
      <c r="AK33" s="247">
        <f>'Interventions cost'!P32/'National data'!$Q34</f>
        <v>1799992.1465207112</v>
      </c>
      <c r="AL33" s="234">
        <f>'Interventions cost'!Q32/'National data'!$Q34</f>
        <v>4155776.7233894495</v>
      </c>
      <c r="AM33" s="234">
        <f>'Interventions cost'!R32/'National data'!$Q34</f>
        <v>257255.02902702452</v>
      </c>
      <c r="AN33" s="235">
        <f>'Interventions cost'!S32/'National data'!$Q34</f>
        <v>3098250.1477340045</v>
      </c>
      <c r="AO33" s="247">
        <f>'Interventions cost'!T32/'National data'!$Q34</f>
        <v>60540.019738044473</v>
      </c>
      <c r="AP33" s="234">
        <f>'Interventions cost'!U32/'National data'!$Q34</f>
        <v>139773.27920414245</v>
      </c>
      <c r="AQ33" s="234">
        <f>'Interventions cost'!V32/'National data'!$Q34</f>
        <v>8652.384714628568</v>
      </c>
      <c r="AR33" s="235">
        <f>'Interventions cost'!W32/'National data'!$Q34</f>
        <v>104204.96859376578</v>
      </c>
      <c r="AS33" s="118">
        <f>'Interventions cost'!AR32/'National data'!$Q34</f>
        <v>1796780.0075302955</v>
      </c>
      <c r="AT33" s="118">
        <f>'Interventions cost'!AS32/'National data'!$Q34</f>
        <v>4148360.6174500627</v>
      </c>
      <c r="AU33" s="118">
        <f>'Interventions cost'!AT32/'National data'!$Q34</f>
        <v>256795.94985225395</v>
      </c>
      <c r="AV33" s="178">
        <f>'Interventions cost'!AU32/'National data'!$Q34</f>
        <v>3092721.2291102004</v>
      </c>
      <c r="AW33" s="234">
        <f>'Interventions cost'!AV32/'National data'!$Q34</f>
        <v>1578095.3117764208</v>
      </c>
      <c r="AX33" s="234">
        <f>'Interventions cost'!AW32/'National data'!$Q34</f>
        <v>3643466.876590068</v>
      </c>
      <c r="AY33" s="234">
        <f>'Interventions cost'!AX32/'National data'!$Q34</f>
        <v>225541.51473559401</v>
      </c>
      <c r="AZ33" s="235">
        <f>'Interventions cost'!AY32/'National data'!$Q34</f>
        <v>2716308.5362902596</v>
      </c>
      <c r="BA33" s="234">
        <f>'Interventions cost'!AZ32/'National data'!$Q34</f>
        <v>425894.42251576856</v>
      </c>
      <c r="BB33" s="234">
        <f>'Interventions cost'!BA32/'National data'!$Q34</f>
        <v>983294.36110795673</v>
      </c>
      <c r="BC33" s="234">
        <f>'Interventions cost'!BB32/'National data'!$Q34</f>
        <v>60868.866699514336</v>
      </c>
      <c r="BD33" s="235">
        <f>'Interventions cost'!BC32/'National data'!$Q34</f>
        <v>733074.00814450439</v>
      </c>
      <c r="BE33" s="234">
        <f>'Interventions cost'!BD32/'National data'!$Q34</f>
        <v>199836.07087327662</v>
      </c>
      <c r="BF33" s="234">
        <f>'Interventions cost'!BE32/'National data'!$Q34</f>
        <v>461376.50846645614</v>
      </c>
      <c r="BG33" s="234">
        <f>'Interventions cost'!BF32/'National data'!$Q34</f>
        <v>28560.588062854516</v>
      </c>
      <c r="BH33" s="235">
        <f>'Interventions cost'!BG32/'National data'!$Q34</f>
        <v>343969.35414550605</v>
      </c>
      <c r="BI33" s="234">
        <f>'Interventions cost'!BH32/'National data'!$Q34</f>
        <v>14813.10921980644</v>
      </c>
      <c r="BJ33" s="234">
        <f>'Interventions cost'!BI32/'National data'!$Q34</f>
        <v>34200.135048194177</v>
      </c>
      <c r="BK33" s="234">
        <f>'Interventions cost'!BJ32/'National data'!$Q34</f>
        <v>2117.0908160281479</v>
      </c>
      <c r="BL33" s="234">
        <f>'Interventions cost'!BK32/'National data'!$Q34</f>
        <v>25497.176705674676</v>
      </c>
      <c r="BM33" s="247">
        <f>'Interventions cost'!CF32/'National data'!$Q34</f>
        <v>1543556.8326622362</v>
      </c>
      <c r="BN33" s="234">
        <f>'Interventions cost'!CG32/'National data'!$Q34</f>
        <v>3563725.3022496202</v>
      </c>
      <c r="BO33" s="234">
        <f>'Interventions cost'!CH32/'National data'!$Q34</f>
        <v>220605.27239462407</v>
      </c>
      <c r="BP33" s="235">
        <f>'Interventions cost'!CI32/'National data'!$Q34</f>
        <v>2656858.9168989337</v>
      </c>
      <c r="BQ33" s="26"/>
      <c r="BR33" s="26"/>
      <c r="BS33" s="26"/>
      <c r="BT33" s="26"/>
      <c r="BU33" s="26"/>
      <c r="BV33" s="26"/>
    </row>
    <row r="34" spans="1:74">
      <c r="A34" s="9">
        <v>32</v>
      </c>
      <c r="B34" s="1" t="s">
        <v>469</v>
      </c>
      <c r="C34" s="1" t="s">
        <v>470</v>
      </c>
      <c r="D34" s="135"/>
      <c r="E34" s="1">
        <f t="shared" si="8"/>
        <v>1.82</v>
      </c>
      <c r="F34" s="1">
        <f t="shared" si="8"/>
        <v>1.78</v>
      </c>
      <c r="G34" s="1">
        <f t="shared" si="8"/>
        <v>0.94</v>
      </c>
      <c r="H34" s="1">
        <f t="shared" si="8"/>
        <v>4.1900000000000004</v>
      </c>
      <c r="I34" s="1">
        <f t="shared" si="8"/>
        <v>8.31</v>
      </c>
      <c r="J34" s="1">
        <f t="shared" si="11"/>
        <v>4.13</v>
      </c>
      <c r="K34" s="180">
        <f t="shared" si="9"/>
        <v>3.5283333333333329</v>
      </c>
      <c r="L34" s="135"/>
      <c r="M34" s="114">
        <f t="shared" si="10"/>
        <v>0.20760000000000001</v>
      </c>
      <c r="N34" s="114">
        <f t="shared" si="10"/>
        <v>0.12889999999999999</v>
      </c>
      <c r="O34" s="114">
        <f t="shared" si="10"/>
        <v>3.61E-2</v>
      </c>
      <c r="P34" s="114">
        <f t="shared" si="10"/>
        <v>0.31319999999999998</v>
      </c>
      <c r="Q34" s="114">
        <f t="shared" si="10"/>
        <v>6.0199999999999997E-2</v>
      </c>
      <c r="R34" s="154">
        <f t="shared" si="10"/>
        <v>0.25390000000000001</v>
      </c>
      <c r="S34" s="185">
        <f t="shared" si="12"/>
        <v>0.377832</v>
      </c>
      <c r="T34" s="140">
        <f t="shared" si="12"/>
        <v>0.22944199999999998</v>
      </c>
      <c r="U34" s="140">
        <f t="shared" si="12"/>
        <v>3.3933999999999999E-2</v>
      </c>
      <c r="V34" s="140">
        <f t="shared" si="12"/>
        <v>1.312308</v>
      </c>
      <c r="W34" s="140">
        <f t="shared" si="12"/>
        <v>0.50026199999999998</v>
      </c>
      <c r="X34" s="186">
        <f t="shared" si="12"/>
        <v>1.0486070000000001</v>
      </c>
      <c r="Y34" s="78">
        <f>'Interventions cost'!D33/'National data'!Q35</f>
        <v>58225502.375972256</v>
      </c>
      <c r="Z34" s="118">
        <f>'Interventions cost'!E33/'National data'!Q35</f>
        <v>134429579.56757861</v>
      </c>
      <c r="AA34" s="118">
        <f>'Interventions cost'!F33/'National data'!Q35</f>
        <v>8321593.6985042151</v>
      </c>
      <c r="AB34" s="178">
        <f>'Interventions cost'!G33/'National data'!$Q35</f>
        <v>100221088.01248978</v>
      </c>
      <c r="AC34" s="247">
        <f>'Interventions cost'!H33/'National data'!$Q35</f>
        <v>20819228.189515091</v>
      </c>
      <c r="AD34" s="234">
        <f>'Interventions cost'!I33/'National data'!$Q35</f>
        <v>48066911.88967628</v>
      </c>
      <c r="AE34" s="234">
        <f>'Interventions cost'!J33/'National data'!$Q35</f>
        <v>2975485.8445168925</v>
      </c>
      <c r="AF34" s="235">
        <f>'Interventions cost'!K33/'National data'!$Q35</f>
        <v>35835254.580723733</v>
      </c>
      <c r="AG34" s="247">
        <f>'Interventions cost'!L33/'National data'!$Q35</f>
        <v>9293432.9192331098</v>
      </c>
      <c r="AH34" s="234">
        <f>'Interventions cost'!M33/'National data'!$Q35</f>
        <v>21456444.841041885</v>
      </c>
      <c r="AI34" s="234">
        <f>'Interventions cost'!N33/'National data'!$Q35</f>
        <v>1328218.2147401439</v>
      </c>
      <c r="AJ34" s="235">
        <f>'Interventions cost'!O33/'National data'!$Q35</f>
        <v>15996391.967946138</v>
      </c>
      <c r="AK34" s="247">
        <f>'Interventions cost'!P33/'National data'!$Q35</f>
        <v>30876530.018682588</v>
      </c>
      <c r="AL34" s="234">
        <f>'Interventions cost'!Q33/'National data'!$Q35</f>
        <v>71286958.111847669</v>
      </c>
      <c r="AM34" s="234">
        <f>'Interventions cost'!R33/'National data'!$Q35</f>
        <v>4412876.2681346443</v>
      </c>
      <c r="AN34" s="235">
        <f>'Interventions cost'!S33/'National data'!$Q35</f>
        <v>53146461.709185027</v>
      </c>
      <c r="AO34" s="247">
        <f>'Interventions cost'!T33/'National data'!$Q35</f>
        <v>355070.17097613536</v>
      </c>
      <c r="AP34" s="234">
        <f>'Interventions cost'!U33/'National data'!$Q35</f>
        <v>819777.10545280832</v>
      </c>
      <c r="AQ34" s="234">
        <f>'Interventions cost'!V33/'National data'!$Q35</f>
        <v>50746.658710516349</v>
      </c>
      <c r="AR34" s="235">
        <f>'Interventions cost'!W33/'National data'!$Q35</f>
        <v>611167.22748439573</v>
      </c>
      <c r="AS34" s="118">
        <f>'Interventions cost'!AR33/'National data'!$Q35</f>
        <v>16131419.405829543</v>
      </c>
      <c r="AT34" s="118">
        <f>'Interventions cost'!AS33/'National data'!$Q35</f>
        <v>37243816.541956194</v>
      </c>
      <c r="AU34" s="118">
        <f>'Interventions cost'!AT33/'National data'!$Q35</f>
        <v>2305503.8187334868</v>
      </c>
      <c r="AV34" s="178">
        <f>'Interventions cost'!AU33/'National data'!$Q35</f>
        <v>27766328.121974107</v>
      </c>
      <c r="AW34" s="234">
        <f>'Interventions cost'!AV33/'National data'!$Q35</f>
        <v>15473601.277779603</v>
      </c>
      <c r="AX34" s="234">
        <f>'Interventions cost'!AW33/'National data'!$Q35</f>
        <v>35725062.546246953</v>
      </c>
      <c r="AY34" s="234">
        <f>'Interventions cost'!AX33/'National data'!$Q35</f>
        <v>2211488.3965256191</v>
      </c>
      <c r="AZ34" s="235">
        <f>'Interventions cost'!AY33/'National data'!$Q35</f>
        <v>26634053.674914796</v>
      </c>
      <c r="BA34" s="234">
        <f>'Interventions cost'!AZ33/'National data'!$Q35</f>
        <v>2581681.7943693283</v>
      </c>
      <c r="BB34" s="234">
        <f>'Interventions cost'!BA33/'National data'!$Q35</f>
        <v>5960522.1772643523</v>
      </c>
      <c r="BC34" s="234">
        <f>'Interventions cost'!BB33/'National data'!$Q35</f>
        <v>368974.17926672072</v>
      </c>
      <c r="BD34" s="235">
        <f>'Interventions cost'!BC33/'National data'!$Q35</f>
        <v>4443739.3886790071</v>
      </c>
      <c r="BE34" s="234">
        <f>'Interventions cost'!BD33/'National data'!$Q35</f>
        <v>3482317.43207373</v>
      </c>
      <c r="BF34" s="234">
        <f>'Interventions cost'!BE33/'National data'!$Q35</f>
        <v>8039887.149306966</v>
      </c>
      <c r="BG34" s="234">
        <f>'Interventions cost'!BF33/'National data'!$Q35</f>
        <v>497693.10038438707</v>
      </c>
      <c r="BH34" s="235">
        <f>'Interventions cost'!BG33/'National data'!$Q35</f>
        <v>5993965.3177008945</v>
      </c>
      <c r="BI34" s="234">
        <f>'Interventions cost'!BH33/'National data'!$Q35</f>
        <v>51893.399051894019</v>
      </c>
      <c r="BJ34" s="234">
        <f>'Interventions cost'!BI33/'National data'!$Q35</f>
        <v>119810.17822454145</v>
      </c>
      <c r="BK34" s="234">
        <f>'Interventions cost'!BJ33/'National data'!$Q35</f>
        <v>7416.6089586615617</v>
      </c>
      <c r="BL34" s="234">
        <f>'Interventions cost'!BK33/'National data'!$Q35</f>
        <v>89321.907092609807</v>
      </c>
      <c r="BM34" s="247">
        <f>'Interventions cost'!CF33/'National data'!$Q35</f>
        <v>17157497.904668268</v>
      </c>
      <c r="BN34" s="234">
        <f>'Interventions cost'!CG33/'National data'!$Q35</f>
        <v>39612800.845630363</v>
      </c>
      <c r="BO34" s="234">
        <f>'Interventions cost'!CH33/'National data'!$Q35</f>
        <v>2452151.0441188808</v>
      </c>
      <c r="BP34" s="235">
        <f>'Interventions cost'!CI33/'National data'!$Q35</f>
        <v>29532473.528085288</v>
      </c>
      <c r="BQ34" s="26"/>
      <c r="BR34" s="26"/>
      <c r="BS34" s="26"/>
      <c r="BT34" s="26"/>
      <c r="BU34" s="26"/>
      <c r="BV34" s="26"/>
    </row>
    <row r="35" spans="1:74">
      <c r="A35" s="9">
        <v>33</v>
      </c>
      <c r="B35" s="1" t="s">
        <v>474</v>
      </c>
      <c r="C35" s="1" t="s">
        <v>475</v>
      </c>
      <c r="D35" s="135"/>
      <c r="E35" s="1">
        <f t="shared" si="8"/>
        <v>1.82</v>
      </c>
      <c r="F35" s="1">
        <f t="shared" si="8"/>
        <v>1.78</v>
      </c>
      <c r="G35" s="1">
        <f t="shared" si="8"/>
        <v>0.94</v>
      </c>
      <c r="H35" s="1">
        <f t="shared" si="8"/>
        <v>4.1900000000000004</v>
      </c>
      <c r="I35" s="1">
        <f t="shared" si="8"/>
        <v>8.31</v>
      </c>
      <c r="J35" s="1">
        <f t="shared" si="11"/>
        <v>4.13</v>
      </c>
      <c r="K35" s="180">
        <f t="shared" si="9"/>
        <v>3.5283333333333329</v>
      </c>
      <c r="L35" s="135"/>
      <c r="M35" s="114">
        <f t="shared" si="10"/>
        <v>0.20760000000000001</v>
      </c>
      <c r="N35" s="114">
        <f t="shared" si="10"/>
        <v>0.12889999999999999</v>
      </c>
      <c r="O35" s="114">
        <f t="shared" si="10"/>
        <v>3.61E-2</v>
      </c>
      <c r="P35" s="114">
        <f t="shared" si="10"/>
        <v>0.31319999999999998</v>
      </c>
      <c r="Q35" s="114">
        <f t="shared" si="10"/>
        <v>6.0199999999999997E-2</v>
      </c>
      <c r="R35" s="154">
        <f t="shared" si="10"/>
        <v>0.25390000000000001</v>
      </c>
      <c r="S35" s="185">
        <f t="shared" si="12"/>
        <v>0.377832</v>
      </c>
      <c r="T35" s="140">
        <f t="shared" si="12"/>
        <v>0.22944199999999998</v>
      </c>
      <c r="U35" s="140">
        <f t="shared" si="12"/>
        <v>3.3933999999999999E-2</v>
      </c>
      <c r="V35" s="140">
        <f t="shared" si="12"/>
        <v>1.312308</v>
      </c>
      <c r="W35" s="140">
        <f t="shared" si="12"/>
        <v>0.50026199999999998</v>
      </c>
      <c r="X35" s="186">
        <f t="shared" si="12"/>
        <v>1.0486070000000001</v>
      </c>
      <c r="Y35" s="78">
        <f>'Interventions cost'!D34/'National data'!Q36</f>
        <v>21110886.238235537</v>
      </c>
      <c r="Z35" s="118">
        <f>'Interventions cost'!E34/'National data'!Q36</f>
        <v>48740284.677665643</v>
      </c>
      <c r="AA35" s="118">
        <f>'Interventions cost'!F34/'National data'!Q36</f>
        <v>3017169.6373793073</v>
      </c>
      <c r="AB35" s="178">
        <f>'Interventions cost'!G34/'National data'!$Q36</f>
        <v>36337273.211350873</v>
      </c>
      <c r="AC35" s="247">
        <f>'Interventions cost'!H34/'National data'!$Q36</f>
        <v>5549420.9583994355</v>
      </c>
      <c r="AD35" s="234">
        <f>'Interventions cost'!I34/'National data'!$Q36</f>
        <v>12812363.927133719</v>
      </c>
      <c r="AE35" s="234">
        <f>'Interventions cost'!J34/'National data'!$Q36</f>
        <v>793123.71028714278</v>
      </c>
      <c r="AF35" s="235">
        <f>'Interventions cost'!K34/'National data'!$Q36</f>
        <v>9551982.9558330774</v>
      </c>
      <c r="AG35" s="247">
        <f>'Interventions cost'!L34/'National data'!$Q36</f>
        <v>4436220.6729391711</v>
      </c>
      <c r="AH35" s="234">
        <f>'Interventions cost'!M34/'National data'!$Q36</f>
        <v>10242235.027555751</v>
      </c>
      <c r="AI35" s="234">
        <f>'Interventions cost'!N34/'National data'!$Q36</f>
        <v>634025.03182761581</v>
      </c>
      <c r="AJ35" s="235">
        <f>'Interventions cost'!O34/'National data'!$Q36</f>
        <v>7635878.5130712148</v>
      </c>
      <c r="AK35" s="247">
        <f>'Interventions cost'!P34/'National data'!$Q36</f>
        <v>11378541.117374582</v>
      </c>
      <c r="AL35" s="234">
        <f>'Interventions cost'!Q34/'National data'!$Q36</f>
        <v>26270490.353592757</v>
      </c>
      <c r="AM35" s="234">
        <f>'Interventions cost'!R34/'National data'!$Q36</f>
        <v>1626222.0538536713</v>
      </c>
      <c r="AN35" s="235">
        <f>'Interventions cost'!S34/'National data'!$Q36</f>
        <v>19585400.284132626</v>
      </c>
      <c r="AO35" s="247">
        <f>'Interventions cost'!T34/'National data'!$Q36</f>
        <v>638177.59930393635</v>
      </c>
      <c r="AP35" s="234">
        <f>'Interventions cost'!U34/'National data'!$Q36</f>
        <v>1473408.4355324947</v>
      </c>
      <c r="AQ35" s="234">
        <f>'Interventions cost'!V34/'National data'!$Q36</f>
        <v>91208.396186989645</v>
      </c>
      <c r="AR35" s="235">
        <f>'Interventions cost'!W34/'National data'!$Q36</f>
        <v>1098468.0378444095</v>
      </c>
      <c r="AS35" s="118">
        <f>'Interventions cost'!AR34/'National data'!$Q36</f>
        <v>6303263.580436918</v>
      </c>
      <c r="AT35" s="118">
        <f>'Interventions cost'!AS34/'National data'!$Q36</f>
        <v>14552816.866230024</v>
      </c>
      <c r="AU35" s="118">
        <f>'Interventions cost'!AT34/'National data'!$Q36</f>
        <v>900862.9612549413</v>
      </c>
      <c r="AV35" s="178">
        <f>'Interventions cost'!AU34/'National data'!$Q36</f>
        <v>10849540.292186126</v>
      </c>
      <c r="AW35" s="234">
        <f>'Interventions cost'!AV34/'National data'!$Q36</f>
        <v>4676718.3962300494</v>
      </c>
      <c r="AX35" s="234">
        <f>'Interventions cost'!AW34/'National data'!$Q36</f>
        <v>10797490.139314029</v>
      </c>
      <c r="AY35" s="234">
        <f>'Interventions cost'!AX34/'National data'!$Q36</f>
        <v>668396.98667515127</v>
      </c>
      <c r="AZ35" s="235">
        <f>'Interventions cost'!AY34/'National data'!$Q36</f>
        <v>8049837.045143662</v>
      </c>
      <c r="BA35" s="234">
        <f>'Interventions cost'!AZ34/'National data'!$Q36</f>
        <v>1274139.3041658469</v>
      </c>
      <c r="BB35" s="234">
        <f>'Interventions cost'!BA34/'National data'!$Q36</f>
        <v>2941700.8695527278</v>
      </c>
      <c r="BC35" s="234">
        <f>'Interventions cost'!BB34/'National data'!$Q36</f>
        <v>182100.09655388584</v>
      </c>
      <c r="BD35" s="235">
        <f>'Interventions cost'!BC34/'National data'!$Q36</f>
        <v>2193121.9505574177</v>
      </c>
      <c r="BE35" s="234">
        <f>'Interventions cost'!BD34/'National data'!$Q36</f>
        <v>1657171.8539487387</v>
      </c>
      <c r="BF35" s="234">
        <f>'Interventions cost'!BE34/'National data'!$Q36</f>
        <v>3826036.8138873251</v>
      </c>
      <c r="BG35" s="234">
        <f>'Interventions cost'!BF34/'National data'!$Q36</f>
        <v>236843.14079613981</v>
      </c>
      <c r="BH35" s="235">
        <f>'Interventions cost'!BG34/'National data'!$Q36</f>
        <v>2852419.6348532434</v>
      </c>
      <c r="BI35" s="234">
        <f>'Interventions cost'!BH34/'National data'!$Q36</f>
        <v>102705.88124671865</v>
      </c>
      <c r="BJ35" s="234">
        <f>'Interventions cost'!BI34/'National data'!$Q36</f>
        <v>237124.76271929292</v>
      </c>
      <c r="BK35" s="234">
        <f>'Interventions cost'!BJ34/'National data'!$Q36</f>
        <v>14678.733189165459</v>
      </c>
      <c r="BL35" s="234">
        <f>'Interventions cost'!BK34/'National data'!$Q36</f>
        <v>176783.27783867126</v>
      </c>
      <c r="BM35" s="247">
        <f>'Interventions cost'!CF34/'National data'!$Q36</f>
        <v>5072182.3778010802</v>
      </c>
      <c r="BN35" s="234">
        <f>'Interventions cost'!CG34/'National data'!$Q36</f>
        <v>11710527.461575979</v>
      </c>
      <c r="BO35" s="234">
        <f>'Interventions cost'!CH34/'National data'!$Q36</f>
        <v>724916.73219451203</v>
      </c>
      <c r="BP35" s="235">
        <f>'Interventions cost'!CI34/'National data'!$Q36</f>
        <v>8730532.4257842191</v>
      </c>
      <c r="BQ35" s="26"/>
      <c r="BR35" s="26"/>
      <c r="BS35" s="26"/>
      <c r="BT35" s="26"/>
      <c r="BU35" s="26"/>
      <c r="BV35" s="26"/>
    </row>
    <row r="36" spans="1:74">
      <c r="A36" s="9">
        <v>34</v>
      </c>
      <c r="B36" s="1" t="s">
        <v>479</v>
      </c>
      <c r="C36" s="1" t="s">
        <v>480</v>
      </c>
      <c r="D36" s="135"/>
      <c r="E36" s="1">
        <f t="shared" si="8"/>
        <v>1.82</v>
      </c>
      <c r="F36" s="1">
        <f t="shared" si="8"/>
        <v>1.78</v>
      </c>
      <c r="G36" s="1">
        <f t="shared" si="8"/>
        <v>0.94</v>
      </c>
      <c r="H36" s="1">
        <f t="shared" si="8"/>
        <v>4.1900000000000004</v>
      </c>
      <c r="I36" s="1">
        <f t="shared" si="8"/>
        <v>8.31</v>
      </c>
      <c r="J36" s="1">
        <f t="shared" si="11"/>
        <v>4.13</v>
      </c>
      <c r="K36" s="180">
        <f t="shared" si="9"/>
        <v>3.5283333333333329</v>
      </c>
      <c r="L36" s="135"/>
      <c r="M36" s="114">
        <f t="shared" si="10"/>
        <v>0.20760000000000001</v>
      </c>
      <c r="N36" s="114">
        <f t="shared" si="10"/>
        <v>0.12889999999999999</v>
      </c>
      <c r="O36" s="114">
        <f t="shared" si="10"/>
        <v>3.61E-2</v>
      </c>
      <c r="P36" s="114">
        <f t="shared" si="10"/>
        <v>0.31319999999999998</v>
      </c>
      <c r="Q36" s="114">
        <f t="shared" si="10"/>
        <v>6.0199999999999997E-2</v>
      </c>
      <c r="R36" s="154">
        <f t="shared" si="10"/>
        <v>0.25390000000000001</v>
      </c>
      <c r="S36" s="185">
        <f t="shared" si="12"/>
        <v>0.377832</v>
      </c>
      <c r="T36" s="140">
        <f t="shared" si="12"/>
        <v>0.22944199999999998</v>
      </c>
      <c r="U36" s="140">
        <f t="shared" si="12"/>
        <v>3.3933999999999999E-2</v>
      </c>
      <c r="V36" s="140">
        <f t="shared" si="12"/>
        <v>1.312308</v>
      </c>
      <c r="W36" s="140">
        <f t="shared" si="12"/>
        <v>0.50026199999999998</v>
      </c>
      <c r="X36" s="186">
        <f t="shared" si="12"/>
        <v>1.0486070000000001</v>
      </c>
      <c r="Y36" s="78">
        <f>'Interventions cost'!D35/'National data'!Q37</f>
        <v>1650762.299416431</v>
      </c>
      <c r="Z36" s="118">
        <f>'Interventions cost'!E35/'National data'!Q37</f>
        <v>3811238.5951372334</v>
      </c>
      <c r="AA36" s="118">
        <f>'Interventions cost'!F35/'National data'!Q37</f>
        <v>235927.08672310048</v>
      </c>
      <c r="AB36" s="178">
        <f>'Interventions cost'!G35/'National data'!$Q37</f>
        <v>2841387.1404531887</v>
      </c>
      <c r="AC36" s="247">
        <f>'Interventions cost'!H35/'National data'!$Q37</f>
        <v>193830.06046096</v>
      </c>
      <c r="AD36" s="234">
        <f>'Interventions cost'!I35/'National data'!$Q37</f>
        <v>447509.98225955793</v>
      </c>
      <c r="AE36" s="234">
        <f>'Interventions cost'!J35/'National data'!$Q37</f>
        <v>27702.208549397368</v>
      </c>
      <c r="AF36" s="235">
        <f>'Interventions cost'!K35/'National data'!$Q37</f>
        <v>333631.46312569216</v>
      </c>
      <c r="AG36" s="247">
        <f>'Interventions cost'!L35/'National data'!$Q37</f>
        <v>207171.34488811647</v>
      </c>
      <c r="AH36" s="234">
        <f>'Interventions cost'!M35/'National data'!$Q37</f>
        <v>478312.00514041568</v>
      </c>
      <c r="AI36" s="234">
        <f>'Interventions cost'!N35/'National data'!$Q37</f>
        <v>29608.946042224783</v>
      </c>
      <c r="AJ36" s="235">
        <f>'Interventions cost'!O35/'National data'!$Q37</f>
        <v>356595.25023292849</v>
      </c>
      <c r="AK36" s="247">
        <f>'Interventions cost'!P35/'National data'!$Q37</f>
        <v>942784.06589902856</v>
      </c>
      <c r="AL36" s="234">
        <f>'Interventions cost'!Q35/'National data'!$Q37</f>
        <v>2176676.2059595278</v>
      </c>
      <c r="AM36" s="234">
        <f>'Interventions cost'!R35/'National data'!$Q37</f>
        <v>134742.77802149294</v>
      </c>
      <c r="AN36" s="235">
        <f>'Interventions cost'!S35/'National data'!$Q37</f>
        <v>1622774.2310426352</v>
      </c>
      <c r="AO36" s="247">
        <f>'Interventions cost'!T35/'National data'!$Q37</f>
        <v>51953.678997258634</v>
      </c>
      <c r="AP36" s="234">
        <f>'Interventions cost'!U35/'National data'!$Q37</f>
        <v>119949.35105055493</v>
      </c>
      <c r="AQ36" s="234">
        <f>'Interventions cost'!V35/'National data'!$Q37</f>
        <v>7425.2241735248554</v>
      </c>
      <c r="AR36" s="235">
        <f>'Interventions cost'!W35/'National data'!$Q37</f>
        <v>89425.664406213808</v>
      </c>
      <c r="AS36" s="118">
        <f>'Interventions cost'!AR35/'National data'!$Q37</f>
        <v>434583.78033004253</v>
      </c>
      <c r="AT36" s="118">
        <f>'Interventions cost'!AS35/'National data'!$Q37</f>
        <v>1003356.1324971056</v>
      </c>
      <c r="AU36" s="118">
        <f>'Interventions cost'!AT35/'National data'!$Q37</f>
        <v>62110.75044942856</v>
      </c>
      <c r="AV36" s="178">
        <f>'Interventions cost'!AU35/'National data'!$Q37</f>
        <v>748030.63125190337</v>
      </c>
      <c r="AW36" s="234">
        <f>'Interventions cost'!AV35/'National data'!$Q37</f>
        <v>214037.82278535175</v>
      </c>
      <c r="AX36" s="234">
        <f>'Interventions cost'!AW35/'National data'!$Q37</f>
        <v>494165.15709563735</v>
      </c>
      <c r="AY36" s="234">
        <f>'Interventions cost'!AX35/'National data'!$Q37</f>
        <v>30590.303641023816</v>
      </c>
      <c r="AZ36" s="235">
        <f>'Interventions cost'!AY35/'National data'!$Q37</f>
        <v>368414.22744382528</v>
      </c>
      <c r="BA36" s="234">
        <f>'Interventions cost'!AZ35/'National data'!$Q37</f>
        <v>72025.130137139553</v>
      </c>
      <c r="BB36" s="234">
        <f>'Interventions cost'!BA35/'National data'!$Q37</f>
        <v>166289.81404257281</v>
      </c>
      <c r="BC36" s="234">
        <f>'Interventions cost'!BB35/'National data'!$Q37</f>
        <v>10293.837659192173</v>
      </c>
      <c r="BD36" s="235">
        <f>'Interventions cost'!BC35/'National data'!$Q37</f>
        <v>123973.80206313352</v>
      </c>
      <c r="BE36" s="234">
        <f>'Interventions cost'!BD35/'National data'!$Q37</f>
        <v>118603.14688963555</v>
      </c>
      <c r="BF36" s="234">
        <f>'Interventions cost'!BE35/'National data'!$Q37</f>
        <v>273827.97092610307</v>
      </c>
      <c r="BG36" s="234">
        <f>'Interventions cost'!BF35/'National data'!$Q37</f>
        <v>16950.771732402434</v>
      </c>
      <c r="BH36" s="235">
        <f>'Interventions cost'!BG35/'National data'!$Q37</f>
        <v>204146.56701853729</v>
      </c>
      <c r="BI36" s="234">
        <f>'Interventions cost'!BH35/'National data'!$Q37</f>
        <v>6723.3675529482325</v>
      </c>
      <c r="BJ36" s="234">
        <f>'Interventions cost'!BI35/'National data'!$Q37</f>
        <v>15522.742381594417</v>
      </c>
      <c r="BK36" s="234">
        <f>'Interventions cost'!BJ35/'National data'!$Q37</f>
        <v>960.90425635262648</v>
      </c>
      <c r="BL36" s="234">
        <f>'Interventions cost'!BK35/'National data'!$Q37</f>
        <v>11572.64744429938</v>
      </c>
      <c r="BM36" s="247">
        <f>'Interventions cost'!CF35/'National data'!$Q37</f>
        <v>288591.60098131199</v>
      </c>
      <c r="BN36" s="234">
        <f>'Interventions cost'!CG35/'National data'!$Q37</f>
        <v>666293.05035694654</v>
      </c>
      <c r="BO36" s="234">
        <f>'Interventions cost'!CH35/'National data'!$Q37</f>
        <v>41245.535893536005</v>
      </c>
      <c r="BP36" s="235">
        <f>'Interventions cost'!CI35/'National data'!$Q37</f>
        <v>496740.48417569289</v>
      </c>
      <c r="BQ36" s="26"/>
      <c r="BR36" s="26"/>
      <c r="BS36" s="26"/>
      <c r="BT36" s="26"/>
      <c r="BU36" s="26"/>
      <c r="BV36" s="26"/>
    </row>
    <row r="37" spans="1:74">
      <c r="A37" s="9">
        <v>35</v>
      </c>
      <c r="B37" s="1" t="s">
        <v>484</v>
      </c>
      <c r="C37" s="1" t="s">
        <v>485</v>
      </c>
      <c r="D37" s="135"/>
      <c r="E37" s="1">
        <f t="shared" si="8"/>
        <v>1.82</v>
      </c>
      <c r="F37" s="1">
        <f t="shared" si="8"/>
        <v>1.78</v>
      </c>
      <c r="G37" s="1">
        <f t="shared" si="8"/>
        <v>0.94</v>
      </c>
      <c r="H37" s="1">
        <f t="shared" si="8"/>
        <v>4.1900000000000004</v>
      </c>
      <c r="I37" s="1">
        <f t="shared" si="8"/>
        <v>8.31</v>
      </c>
      <c r="J37" s="1">
        <f t="shared" si="11"/>
        <v>4.13</v>
      </c>
      <c r="K37" s="180">
        <f t="shared" si="9"/>
        <v>3.5283333333333329</v>
      </c>
      <c r="L37" s="135"/>
      <c r="M37" s="114">
        <f t="shared" si="10"/>
        <v>0.20760000000000001</v>
      </c>
      <c r="N37" s="114">
        <f t="shared" si="10"/>
        <v>0.12889999999999999</v>
      </c>
      <c r="O37" s="114">
        <f t="shared" si="10"/>
        <v>3.61E-2</v>
      </c>
      <c r="P37" s="114">
        <f t="shared" si="10"/>
        <v>0.31319999999999998</v>
      </c>
      <c r="Q37" s="114">
        <f t="shared" si="10"/>
        <v>6.0199999999999997E-2</v>
      </c>
      <c r="R37" s="154">
        <f t="shared" si="10"/>
        <v>0.25390000000000001</v>
      </c>
      <c r="S37" s="185">
        <f t="shared" si="12"/>
        <v>0.377832</v>
      </c>
      <c r="T37" s="140">
        <f t="shared" si="12"/>
        <v>0.22944199999999998</v>
      </c>
      <c r="U37" s="140">
        <f t="shared" si="12"/>
        <v>3.3933999999999999E-2</v>
      </c>
      <c r="V37" s="140">
        <f t="shared" si="12"/>
        <v>1.312308</v>
      </c>
      <c r="W37" s="140">
        <f t="shared" si="12"/>
        <v>0.50026199999999998</v>
      </c>
      <c r="X37" s="186">
        <f t="shared" si="12"/>
        <v>1.0486070000000001</v>
      </c>
      <c r="Y37" s="78">
        <f>'Interventions cost'!D36/'National data'!Q38</f>
        <v>46279499.91371078</v>
      </c>
      <c r="Z37" s="118">
        <f>'Interventions cost'!E36/'National data'!Q38</f>
        <v>106848948.69306052</v>
      </c>
      <c r="AA37" s="118">
        <f>'Interventions cost'!F36/'National data'!Q38</f>
        <v>6614270.0214947043</v>
      </c>
      <c r="AB37" s="178">
        <f>'Interventions cost'!G36/'National data'!$Q38</f>
        <v>79658940.580305696</v>
      </c>
      <c r="AC37" s="247">
        <f>'Interventions cost'!H36/'National data'!$Q38</f>
        <v>12787537.556600412</v>
      </c>
      <c r="AD37" s="234">
        <f>'Interventions cost'!I36/'National data'!$Q38</f>
        <v>29523545.994302996</v>
      </c>
      <c r="AE37" s="234">
        <f>'Interventions cost'!J36/'National data'!$Q38</f>
        <v>1827595.9434968312</v>
      </c>
      <c r="AF37" s="235">
        <f>'Interventions cost'!K36/'National data'!$Q38</f>
        <v>22010646.10224703</v>
      </c>
      <c r="AG37" s="247">
        <f>'Interventions cost'!L36/'National data'!$Q38</f>
        <v>8916145.9936769456</v>
      </c>
      <c r="AH37" s="234">
        <f>'Interventions cost'!M36/'National data'!$Q38</f>
        <v>20585374.249819484</v>
      </c>
      <c r="AI37" s="234">
        <f>'Interventions cost'!N36/'National data'!$Q38</f>
        <v>1274296.3355957945</v>
      </c>
      <c r="AJ37" s="235">
        <f>'Interventions cost'!O36/'National data'!$Q38</f>
        <v>15346983.982971335</v>
      </c>
      <c r="AK37" s="247">
        <f>'Interventions cost'!P36/'National data'!$Q38</f>
        <v>25330333.186343085</v>
      </c>
      <c r="AL37" s="234">
        <f>'Interventions cost'!Q36/'National data'!$Q38</f>
        <v>58482037.966098793</v>
      </c>
      <c r="AM37" s="234">
        <f>'Interventions cost'!R36/'National data'!$Q38</f>
        <v>3620213.3502152557</v>
      </c>
      <c r="AN37" s="235">
        <f>'Interventions cost'!S36/'National data'!$Q38</f>
        <v>43600028.304810159</v>
      </c>
      <c r="AO37" s="247">
        <f>'Interventions cost'!T36/'National data'!$Q38</f>
        <v>300366.04647083924</v>
      </c>
      <c r="AP37" s="234">
        <f>'Interventions cost'!U36/'National data'!$Q38</f>
        <v>693477.59479553089</v>
      </c>
      <c r="AQ37" s="234">
        <f>'Interventions cost'!V36/'National data'!$Q38</f>
        <v>42928.340633568005</v>
      </c>
      <c r="AR37" s="235">
        <f>'Interventions cost'!W36/'National data'!$Q38</f>
        <v>517007.3378660981</v>
      </c>
      <c r="AS37" s="118">
        <f>'Interventions cost'!AR36/'National data'!$Q38</f>
        <v>14219530.125393678</v>
      </c>
      <c r="AT37" s="118">
        <f>'Interventions cost'!AS36/'National data'!$Q38</f>
        <v>32829694.52220672</v>
      </c>
      <c r="AU37" s="118">
        <f>'Interventions cost'!AT36/'National data'!$Q38</f>
        <v>2032256.4419125977</v>
      </c>
      <c r="AV37" s="178">
        <f>'Interventions cost'!AU36/'National data'!$Q38</f>
        <v>24475474.182965923</v>
      </c>
      <c r="AW37" s="234">
        <f>'Interventions cost'!AV36/'National data'!$Q38</f>
        <v>10206605.761001049</v>
      </c>
      <c r="AX37" s="234">
        <f>'Interventions cost'!AW36/'National data'!$Q38</f>
        <v>23564755.39538848</v>
      </c>
      <c r="AY37" s="234">
        <f>'Interventions cost'!AX36/'National data'!$Q38</f>
        <v>1458728.9541174166</v>
      </c>
      <c r="AZ37" s="235">
        <f>'Interventions cost'!AY36/'National data'!$Q38</f>
        <v>17568197.654644806</v>
      </c>
      <c r="BA37" s="234">
        <f>'Interventions cost'!AZ36/'National data'!$Q38</f>
        <v>3451913.2565859663</v>
      </c>
      <c r="BB37" s="234">
        <f>'Interventions cost'!BA36/'National data'!$Q38</f>
        <v>7969690.7514892714</v>
      </c>
      <c r="BC37" s="234">
        <f>'Interventions cost'!BB36/'National data'!$Q38</f>
        <v>493347.73306555406</v>
      </c>
      <c r="BD37" s="235">
        <f>'Interventions cost'!BC36/'National data'!$Q38</f>
        <v>5941631.8998141671</v>
      </c>
      <c r="BE37" s="234">
        <f>'Interventions cost'!BD36/'National data'!$Q38</f>
        <v>2989335.4388206145</v>
      </c>
      <c r="BF37" s="234">
        <f>'Interventions cost'!BE36/'National data'!$Q38</f>
        <v>6901702.6874627825</v>
      </c>
      <c r="BG37" s="234">
        <f>'Interventions cost'!BF36/'National data'!$Q38</f>
        <v>427236.07243053138</v>
      </c>
      <c r="BH37" s="235">
        <f>'Interventions cost'!BG36/'National data'!$Q38</f>
        <v>5145416.3190960865</v>
      </c>
      <c r="BI37" s="234">
        <f>'Interventions cost'!BH36/'National data'!$Q38</f>
        <v>111603.55571321826</v>
      </c>
      <c r="BJ37" s="234">
        <f>'Interventions cost'!BI36/'National data'!$Q38</f>
        <v>257667.49037043829</v>
      </c>
      <c r="BK37" s="234">
        <f>'Interventions cost'!BJ36/'National data'!$Q38</f>
        <v>15950.389572542923</v>
      </c>
      <c r="BL37" s="234">
        <f>'Interventions cost'!BK36/'National data'!$Q38</f>
        <v>192098.46756525277</v>
      </c>
      <c r="BM37" s="247">
        <f>'Interventions cost'!CF36/'National data'!$Q38</f>
        <v>10679681.652296504</v>
      </c>
      <c r="BN37" s="234">
        <f>'Interventions cost'!CG36/'National data'!$Q38</f>
        <v>24656981.148285542</v>
      </c>
      <c r="BO37" s="234">
        <f>'Interventions cost'!CH36/'National data'!$Q38</f>
        <v>1526341.00030464</v>
      </c>
      <c r="BP37" s="235">
        <f>'Interventions cost'!CI36/'National data'!$Q38</f>
        <v>18382483.124127932</v>
      </c>
      <c r="BQ37" s="26"/>
      <c r="BR37" s="26"/>
      <c r="BS37" s="26"/>
      <c r="BT37" s="26"/>
      <c r="BU37" s="26"/>
      <c r="BV37" s="26"/>
    </row>
    <row r="38" spans="1:74">
      <c r="A38" s="9">
        <v>36</v>
      </c>
      <c r="B38" s="1" t="s">
        <v>141</v>
      </c>
      <c r="C38" s="1" t="s">
        <v>489</v>
      </c>
      <c r="D38" s="135"/>
      <c r="E38" s="1">
        <f t="shared" si="8"/>
        <v>1.82</v>
      </c>
      <c r="F38" s="1">
        <f t="shared" si="8"/>
        <v>1.78</v>
      </c>
      <c r="G38" s="1">
        <f t="shared" si="8"/>
        <v>0.94</v>
      </c>
      <c r="H38" s="1">
        <f t="shared" si="8"/>
        <v>4.1900000000000004</v>
      </c>
      <c r="I38" s="1">
        <f t="shared" si="8"/>
        <v>8.31</v>
      </c>
      <c r="J38" s="1">
        <f t="shared" si="11"/>
        <v>4.13</v>
      </c>
      <c r="K38" s="180">
        <f t="shared" si="9"/>
        <v>3.5283333333333329</v>
      </c>
      <c r="L38" s="135"/>
      <c r="M38" s="114">
        <f t="shared" si="10"/>
        <v>0.20760000000000001</v>
      </c>
      <c r="N38" s="114">
        <f t="shared" si="10"/>
        <v>0.12889999999999999</v>
      </c>
      <c r="O38" s="114">
        <f t="shared" si="10"/>
        <v>3.61E-2</v>
      </c>
      <c r="P38" s="114">
        <f t="shared" si="10"/>
        <v>0.31319999999999998</v>
      </c>
      <c r="Q38" s="114">
        <f t="shared" si="10"/>
        <v>6.0199999999999997E-2</v>
      </c>
      <c r="R38" s="154">
        <f t="shared" si="10"/>
        <v>0.25390000000000001</v>
      </c>
      <c r="S38" s="185">
        <f t="shared" si="12"/>
        <v>0.377832</v>
      </c>
      <c r="T38" s="140">
        <f t="shared" si="12"/>
        <v>0.22944199999999998</v>
      </c>
      <c r="U38" s="140">
        <f t="shared" si="12"/>
        <v>3.3933999999999999E-2</v>
      </c>
      <c r="V38" s="140">
        <f t="shared" si="12"/>
        <v>1.312308</v>
      </c>
      <c r="W38" s="140">
        <f t="shared" si="12"/>
        <v>0.50026199999999998</v>
      </c>
      <c r="X38" s="186">
        <f t="shared" si="12"/>
        <v>1.0486070000000001</v>
      </c>
      <c r="Y38" s="78">
        <f>'Interventions cost'!D37/'National data'!Q39</f>
        <v>6210081.4928229619</v>
      </c>
      <c r="Z38" s="118">
        <f>'Interventions cost'!E37/'National data'!Q39</f>
        <v>14337680.399389638</v>
      </c>
      <c r="AA38" s="118">
        <f>'Interventions cost'!F37/'National data'!Q39</f>
        <v>887545.36945307546</v>
      </c>
      <c r="AB38" s="178">
        <f>'Interventions cost'!G37/'National data'!$Q39</f>
        <v>10689149.916442459</v>
      </c>
      <c r="AC38" s="247">
        <f>'Interventions cost'!H37/'National data'!$Q39</f>
        <v>1628417.2597979698</v>
      </c>
      <c r="AD38" s="234">
        <f>'Interventions cost'!I37/'National data'!$Q39</f>
        <v>3759648.928088346</v>
      </c>
      <c r="AE38" s="234">
        <f>'Interventions cost'!J37/'National data'!$Q39</f>
        <v>232733.53178078114</v>
      </c>
      <c r="AF38" s="235">
        <f>'Interventions cost'!K37/'National data'!$Q39</f>
        <v>2802925.5713664363</v>
      </c>
      <c r="AG38" s="247">
        <f>'Interventions cost'!L37/'National data'!$Q39</f>
        <v>1199759.1923145805</v>
      </c>
      <c r="AH38" s="234">
        <f>'Interventions cost'!M37/'National data'!$Q39</f>
        <v>2769973.9327924289</v>
      </c>
      <c r="AI38" s="234">
        <f>'Interventions cost'!N37/'National data'!$Q39</f>
        <v>171469.68470996915</v>
      </c>
      <c r="AJ38" s="235">
        <f>'Interventions cost'!O37/'National data'!$Q39</f>
        <v>2065094.6183398294</v>
      </c>
      <c r="AK38" s="247">
        <f>'Interventions cost'!P37/'National data'!$Q39</f>
        <v>3193799.9646052397</v>
      </c>
      <c r="AL38" s="234">
        <f>'Interventions cost'!Q37/'National data'!$Q39</f>
        <v>7373765.2565451255</v>
      </c>
      <c r="AM38" s="234">
        <f>'Interventions cost'!R37/'National data'!$Q39</f>
        <v>456458.15965874103</v>
      </c>
      <c r="AN38" s="235">
        <f>'Interventions cost'!S37/'National data'!$Q39</f>
        <v>5497352.4363969686</v>
      </c>
      <c r="AO38" s="247">
        <f>'Interventions cost'!T37/'National data'!$Q39</f>
        <v>109267.32478765841</v>
      </c>
      <c r="AP38" s="234">
        <f>'Interventions cost'!U37/'National data'!$Q39</f>
        <v>252273.65900307885</v>
      </c>
      <c r="AQ38" s="234">
        <f>'Interventions cost'!V37/'National data'!$Q39</f>
        <v>15616.495252098002</v>
      </c>
      <c r="AR38" s="235">
        <f>'Interventions cost'!W37/'National data'!$Q39</f>
        <v>188077.21234797439</v>
      </c>
      <c r="AS38" s="118">
        <f>'Interventions cost'!AR37/'National data'!$Q39</f>
        <v>2070135.9988546802</v>
      </c>
      <c r="AT38" s="118">
        <f>'Interventions cost'!AS37/'National data'!$Q39</f>
        <v>4779478.0743460637</v>
      </c>
      <c r="AU38" s="118">
        <f>'Interventions cost'!AT37/'National data'!$Q39</f>
        <v>295864.01113174052</v>
      </c>
      <c r="AV38" s="178">
        <f>'Interventions cost'!AU37/'National data'!$Q39</f>
        <v>3563237.3044952028</v>
      </c>
      <c r="AW38" s="234">
        <f>'Interventions cost'!AV37/'National data'!$Q39</f>
        <v>1328492.6193891005</v>
      </c>
      <c r="AX38" s="234">
        <f>'Interventions cost'!AW37/'National data'!$Q39</f>
        <v>3067190.4405380571</v>
      </c>
      <c r="AY38" s="234">
        <f>'Interventions cost'!AX37/'National data'!$Q39</f>
        <v>189868.27693872855</v>
      </c>
      <c r="AZ38" s="235">
        <f>'Interventions cost'!AY37/'National data'!$Q39</f>
        <v>2286678.0070356568</v>
      </c>
      <c r="BA38" s="234">
        <f>'Interventions cost'!AZ37/'National data'!$Q39</f>
        <v>378417.10235276615</v>
      </c>
      <c r="BB38" s="234">
        <f>'Interventions cost'!BA37/'National data'!$Q39</f>
        <v>873679.91506512591</v>
      </c>
      <c r="BC38" s="234">
        <f>'Interventions cost'!BB37/'National data'!$Q39</f>
        <v>54083.404107209659</v>
      </c>
      <c r="BD38" s="235">
        <f>'Interventions cost'!BC37/'National data'!$Q39</f>
        <v>651353.31036625779</v>
      </c>
      <c r="BE38" s="234">
        <f>'Interventions cost'!BD37/'National data'!$Q39</f>
        <v>462357.64054864756</v>
      </c>
      <c r="BF38" s="234">
        <f>'Interventions cost'!BE37/'National data'!$Q39</f>
        <v>1067479.7243906904</v>
      </c>
      <c r="BG38" s="234">
        <f>'Interventions cost'!BF37/'National data'!$Q39</f>
        <v>66080.192888686186</v>
      </c>
      <c r="BH38" s="235">
        <f>'Interventions cost'!BG37/'National data'!$Q39</f>
        <v>795836.59901224473</v>
      </c>
      <c r="BI38" s="234">
        <f>'Interventions cost'!BH37/'National data'!$Q39</f>
        <v>26476.290857020609</v>
      </c>
      <c r="BJ38" s="234">
        <f>'Interventions cost'!BI37/'National data'!$Q39</f>
        <v>61127.796295098495</v>
      </c>
      <c r="BK38" s="234">
        <f>'Interventions cost'!BJ37/'National data'!$Q39</f>
        <v>3783.993716926147</v>
      </c>
      <c r="BL38" s="234">
        <f>'Interventions cost'!BK37/'National data'!$Q39</f>
        <v>45572.516645571181</v>
      </c>
      <c r="BM38" s="247">
        <f>'Interventions cost'!CF37/'National data'!$Q39</f>
        <v>1771280.8439262523</v>
      </c>
      <c r="BN38" s="234">
        <f>'Interventions cost'!CG37/'National data'!$Q39</f>
        <v>4089488.7880499102</v>
      </c>
      <c r="BO38" s="234">
        <f>'Interventions cost'!CH37/'National data'!$Q39</f>
        <v>253151.60724453602</v>
      </c>
      <c r="BP38" s="235">
        <f>'Interventions cost'!CI37/'National data'!$Q39</f>
        <v>3048830.6001671636</v>
      </c>
      <c r="BQ38" s="26"/>
      <c r="BR38" s="26"/>
      <c r="BS38" s="26"/>
      <c r="BT38" s="26"/>
      <c r="BU38" s="26"/>
      <c r="BV38" s="26"/>
    </row>
    <row r="39" spans="1:74">
      <c r="A39" s="9">
        <v>37</v>
      </c>
      <c r="B39" s="1" t="s">
        <v>493</v>
      </c>
      <c r="C39" s="1" t="s">
        <v>494</v>
      </c>
      <c r="D39" s="135"/>
      <c r="E39" s="1">
        <f t="shared" si="8"/>
        <v>1.82</v>
      </c>
      <c r="F39" s="1">
        <f t="shared" si="8"/>
        <v>1.78</v>
      </c>
      <c r="G39" s="1">
        <f t="shared" si="8"/>
        <v>0.94</v>
      </c>
      <c r="H39" s="1">
        <f t="shared" si="8"/>
        <v>4.1900000000000004</v>
      </c>
      <c r="I39" s="1">
        <f t="shared" si="8"/>
        <v>8.31</v>
      </c>
      <c r="J39" s="1">
        <f t="shared" si="11"/>
        <v>4.13</v>
      </c>
      <c r="K39" s="180">
        <f t="shared" si="9"/>
        <v>3.5283333333333329</v>
      </c>
      <c r="L39" s="135"/>
      <c r="M39" s="114">
        <f t="shared" si="10"/>
        <v>0.20760000000000001</v>
      </c>
      <c r="N39" s="114">
        <f t="shared" si="10"/>
        <v>0.12889999999999999</v>
      </c>
      <c r="O39" s="114">
        <f t="shared" si="10"/>
        <v>3.61E-2</v>
      </c>
      <c r="P39" s="114">
        <f t="shared" si="10"/>
        <v>0.31319999999999998</v>
      </c>
      <c r="Q39" s="114">
        <f t="shared" si="10"/>
        <v>6.0199999999999997E-2</v>
      </c>
      <c r="R39" s="154">
        <f t="shared" si="10"/>
        <v>0.25390000000000001</v>
      </c>
      <c r="S39" s="185">
        <f t="shared" si="12"/>
        <v>0.377832</v>
      </c>
      <c r="T39" s="140">
        <f t="shared" si="12"/>
        <v>0.22944199999999998</v>
      </c>
      <c r="U39" s="140">
        <f t="shared" si="12"/>
        <v>3.3933999999999999E-2</v>
      </c>
      <c r="V39" s="140">
        <f t="shared" si="12"/>
        <v>1.312308</v>
      </c>
      <c r="W39" s="140">
        <f t="shared" si="12"/>
        <v>0.50026199999999998</v>
      </c>
      <c r="X39" s="186">
        <f t="shared" si="12"/>
        <v>1.0486070000000001</v>
      </c>
      <c r="Y39" s="78">
        <f>'Interventions cost'!D38/'National data'!Q40</f>
        <v>16651070.877964197</v>
      </c>
      <c r="Z39" s="118">
        <f>'Interventions cost'!E38/'National data'!Q40</f>
        <v>38443574.82776124</v>
      </c>
      <c r="AA39" s="118">
        <f>'Interventions cost'!F38/'National data'!Q40</f>
        <v>2379772.4508529874</v>
      </c>
      <c r="AB39" s="178">
        <f>'Interventions cost'!G38/'National data'!$Q40</f>
        <v>28660782.163578369</v>
      </c>
      <c r="AC39" s="247">
        <f>'Interventions cost'!H38/'National data'!$Q40</f>
        <v>4179359.6009938167</v>
      </c>
      <c r="AD39" s="234">
        <f>'Interventions cost'!I38/'National data'!$Q40</f>
        <v>9649200.6268231124</v>
      </c>
      <c r="AE39" s="234">
        <f>'Interventions cost'!J38/'National data'!$Q40</f>
        <v>597314.42581361672</v>
      </c>
      <c r="AF39" s="235">
        <f>'Interventions cost'!K38/'National data'!$Q40</f>
        <v>7193754.442896748</v>
      </c>
      <c r="AG39" s="247">
        <f>'Interventions cost'!L38/'National data'!$Q40</f>
        <v>2757398.4641124383</v>
      </c>
      <c r="AH39" s="234">
        <f>'Interventions cost'!M38/'National data'!$Q40</f>
        <v>6366212.4173253654</v>
      </c>
      <c r="AI39" s="234">
        <f>'Interventions cost'!N38/'National data'!$Q40</f>
        <v>394087.62049071305</v>
      </c>
      <c r="AJ39" s="235">
        <f>'Interventions cost'!O38/'National data'!$Q40</f>
        <v>4746193.0405147905</v>
      </c>
      <c r="AK39" s="247">
        <f>'Interventions cost'!P38/'National data'!$Q40</f>
        <v>9529889.2648920771</v>
      </c>
      <c r="AL39" s="234">
        <f>'Interventions cost'!Q38/'National data'!$Q40</f>
        <v>22002369.321482923</v>
      </c>
      <c r="AM39" s="234">
        <f>'Interventions cost'!R38/'National data'!$Q40</f>
        <v>1362012.5755564966</v>
      </c>
      <c r="AN39" s="235">
        <f>'Interventions cost'!S38/'National data'!$Q40</f>
        <v>16403394.24808754</v>
      </c>
      <c r="AO39" s="247">
        <f>'Interventions cost'!T38/'National data'!$Q40</f>
        <v>147678.30880297927</v>
      </c>
      <c r="AP39" s="234">
        <f>'Interventions cost'!U38/'National data'!$Q40</f>
        <v>340955.97553535149</v>
      </c>
      <c r="AQ39" s="234">
        <f>'Interventions cost'!V38/'National data'!$Q40</f>
        <v>21106.196319359991</v>
      </c>
      <c r="AR39" s="235">
        <f>'Interventions cost'!W38/'National data'!$Q40</f>
        <v>254192.41020042621</v>
      </c>
      <c r="AS39" s="118">
        <f>'Interventions cost'!AR38/'National data'!$Q40</f>
        <v>4342702.6903212136</v>
      </c>
      <c r="AT39" s="118">
        <f>'Interventions cost'!AS38/'National data'!$Q40</f>
        <v>10026323.054754497</v>
      </c>
      <c r="AU39" s="118">
        <f>'Interventions cost'!AT38/'National data'!$Q40</f>
        <v>620659.43388351717</v>
      </c>
      <c r="AV39" s="178">
        <f>'Interventions cost'!AU38/'National data'!$Q40</f>
        <v>7474909.9755017962</v>
      </c>
      <c r="AW39" s="234">
        <f>'Interventions cost'!AV38/'National data'!$Q40</f>
        <v>3551278.5317268968</v>
      </c>
      <c r="AX39" s="234">
        <f>'Interventions cost'!AW38/'National data'!$Q40</f>
        <v>8199102.8066152101</v>
      </c>
      <c r="AY39" s="234">
        <f>'Interventions cost'!AX38/'National data'!$Q40</f>
        <v>507549.02654901106</v>
      </c>
      <c r="AZ39" s="235">
        <f>'Interventions cost'!AY38/'National data'!$Q40</f>
        <v>6112665.1340313796</v>
      </c>
      <c r="BA39" s="234">
        <f>'Interventions cost'!AZ38/'National data'!$Q40</f>
        <v>970880.46635392937</v>
      </c>
      <c r="BB39" s="234">
        <f>'Interventions cost'!BA38/'National data'!$Q40</f>
        <v>2241544.4706612383</v>
      </c>
      <c r="BC39" s="234">
        <f>'Interventions cost'!BB38/'National data'!$Q40</f>
        <v>138758.31793845963</v>
      </c>
      <c r="BD39" s="235">
        <f>'Interventions cost'!BC38/'National data'!$Q40</f>
        <v>1671135.3736334254</v>
      </c>
      <c r="BE39" s="234">
        <f>'Interventions cost'!BD38/'National data'!$Q40</f>
        <v>949879.90531730361</v>
      </c>
      <c r="BF39" s="234">
        <f>'Interventions cost'!BE38/'National data'!$Q40</f>
        <v>2193058.9020420508</v>
      </c>
      <c r="BG39" s="234">
        <f>'Interventions cost'!BF38/'National data'!$Q40</f>
        <v>135756.9159881768</v>
      </c>
      <c r="BH39" s="235">
        <f>'Interventions cost'!BG38/'National data'!$Q40</f>
        <v>1634987.9985129344</v>
      </c>
      <c r="BI39" s="234">
        <f>'Interventions cost'!BH38/'National data'!$Q40</f>
        <v>49092.698225955122</v>
      </c>
      <c r="BJ39" s="234">
        <f>'Interventions cost'!BI38/'National data'!$Q40</f>
        <v>113343.99040027105</v>
      </c>
      <c r="BK39" s="234">
        <f>'Interventions cost'!BJ38/'National data'!$Q40</f>
        <v>7016.3325609752728</v>
      </c>
      <c r="BL39" s="234">
        <f>'Interventions cost'!BK38/'National data'!$Q40</f>
        <v>84501.179533049799</v>
      </c>
      <c r="BM39" s="247">
        <f>'Interventions cost'!CF38/'National data'!$Q40</f>
        <v>3839636.0288774646</v>
      </c>
      <c r="BN39" s="234">
        <f>'Interventions cost'!CG38/'National data'!$Q40</f>
        <v>8864855.3639191445</v>
      </c>
      <c r="BO39" s="234">
        <f>'Interventions cost'!CH38/'National data'!$Q40</f>
        <v>548761.1043033601</v>
      </c>
      <c r="BP39" s="235">
        <f>'Interventions cost'!CI38/'National data'!$Q40</f>
        <v>6609002.6652110862</v>
      </c>
      <c r="BQ39" s="26"/>
      <c r="BR39" s="26"/>
      <c r="BS39" s="26"/>
      <c r="BT39" s="26"/>
      <c r="BU39" s="26"/>
      <c r="BV39" s="26"/>
    </row>
    <row r="40" spans="1:74">
      <c r="A40" s="9">
        <v>38</v>
      </c>
      <c r="B40" s="1" t="s">
        <v>498</v>
      </c>
      <c r="C40" s="1" t="s">
        <v>499</v>
      </c>
      <c r="D40" s="135"/>
      <c r="E40" s="1">
        <f t="shared" si="8"/>
        <v>1.82</v>
      </c>
      <c r="F40" s="1">
        <f t="shared" si="8"/>
        <v>1.78</v>
      </c>
      <c r="G40" s="1">
        <f t="shared" si="8"/>
        <v>0.94</v>
      </c>
      <c r="H40" s="1">
        <f t="shared" si="8"/>
        <v>4.1900000000000004</v>
      </c>
      <c r="I40" s="1">
        <f t="shared" si="8"/>
        <v>8.31</v>
      </c>
      <c r="J40" s="1">
        <f t="shared" si="11"/>
        <v>4.13</v>
      </c>
      <c r="K40" s="180">
        <f t="shared" si="9"/>
        <v>3.5283333333333329</v>
      </c>
      <c r="L40" s="135"/>
      <c r="M40" s="114">
        <f t="shared" si="10"/>
        <v>0.20760000000000001</v>
      </c>
      <c r="N40" s="114">
        <f t="shared" si="10"/>
        <v>0.12889999999999999</v>
      </c>
      <c r="O40" s="114">
        <f t="shared" si="10"/>
        <v>3.61E-2</v>
      </c>
      <c r="P40" s="114">
        <f t="shared" si="10"/>
        <v>0.31319999999999998</v>
      </c>
      <c r="Q40" s="114">
        <f t="shared" si="10"/>
        <v>6.0199999999999997E-2</v>
      </c>
      <c r="R40" s="154">
        <f t="shared" si="10"/>
        <v>0.25390000000000001</v>
      </c>
      <c r="S40" s="185">
        <f t="shared" si="12"/>
        <v>0.377832</v>
      </c>
      <c r="T40" s="140">
        <f t="shared" si="12"/>
        <v>0.22944199999999998</v>
      </c>
      <c r="U40" s="140">
        <f t="shared" si="12"/>
        <v>3.3933999999999999E-2</v>
      </c>
      <c r="V40" s="140">
        <f t="shared" si="12"/>
        <v>1.312308</v>
      </c>
      <c r="W40" s="140">
        <f t="shared" si="12"/>
        <v>0.50026199999999998</v>
      </c>
      <c r="X40" s="186">
        <f t="shared" si="12"/>
        <v>1.0486070000000001</v>
      </c>
      <c r="Y40" s="78">
        <f>'Interventions cost'!D39/'National data'!Q41</f>
        <v>38330263.327122577</v>
      </c>
      <c r="Z40" s="118">
        <f>'Interventions cost'!E39/'National data'!Q41</f>
        <v>88495950.6318665</v>
      </c>
      <c r="AA40" s="118">
        <f>'Interventions cost'!F39/'National data'!Q41</f>
        <v>5478164.4597130762</v>
      </c>
      <c r="AB40" s="178">
        <f>'Interventions cost'!G39/'National data'!$Q41</f>
        <v>65976256.755059324</v>
      </c>
      <c r="AC40" s="247">
        <f>'Interventions cost'!H39/'National data'!$Q41</f>
        <v>10183908.048620755</v>
      </c>
      <c r="AD40" s="234">
        <f>'Interventions cost'!I39/'National data'!$Q41</f>
        <v>23512351.486312237</v>
      </c>
      <c r="AE40" s="234">
        <f>'Interventions cost'!J39/'National data'!$Q41</f>
        <v>1455484.9951543028</v>
      </c>
      <c r="AF40" s="235">
        <f>'Interventions cost'!K39/'National data'!$Q41</f>
        <v>17529129.044889256</v>
      </c>
      <c r="AG40" s="247">
        <f>'Interventions cost'!L39/'National data'!$Q41</f>
        <v>7647416.4341893857</v>
      </c>
      <c r="AH40" s="234">
        <f>'Interventions cost'!M39/'National data'!$Q41</f>
        <v>17656163.263101503</v>
      </c>
      <c r="AI40" s="234">
        <f>'Interventions cost'!N39/'National data'!$Q41</f>
        <v>1092969.4002064902</v>
      </c>
      <c r="AJ40" s="235">
        <f>'Interventions cost'!O39/'National data'!$Q41</f>
        <v>13163173.596512182</v>
      </c>
      <c r="AK40" s="247">
        <f>'Interventions cost'!P39/'National data'!$Q41</f>
        <v>21887394.976329666</v>
      </c>
      <c r="AL40" s="234">
        <f>'Interventions cost'!Q39/'National data'!$Q41</f>
        <v>50533068.577038601</v>
      </c>
      <c r="AM40" s="234">
        <f>'Interventions cost'!R39/'National data'!$Q41</f>
        <v>3128148.3315609852</v>
      </c>
      <c r="AN40" s="235">
        <f>'Interventions cost'!S39/'National data'!$Q41</f>
        <v>37673844.772047512</v>
      </c>
      <c r="AO40" s="247">
        <f>'Interventions cost'!T39/'National data'!$Q41</f>
        <v>350617.83748742921</v>
      </c>
      <c r="AP40" s="234">
        <f>'Interventions cost'!U39/'National data'!$Q41</f>
        <v>809497.6695603251</v>
      </c>
      <c r="AQ40" s="234">
        <f>'Interventions cost'!V39/'National data'!$Q41</f>
        <v>50110.330833703621</v>
      </c>
      <c r="AR40" s="235">
        <f>'Interventions cost'!W39/'National data'!$Q41</f>
        <v>603503.61466485716</v>
      </c>
      <c r="AS40" s="118">
        <f>'Interventions cost'!AR39/'National data'!$Q41</f>
        <v>9556475.0423632078</v>
      </c>
      <c r="AT40" s="118">
        <f>'Interventions cost'!AS39/'National data'!$Q41</f>
        <v>22063749.897726715</v>
      </c>
      <c r="AU40" s="118">
        <f>'Interventions cost'!AT39/'National data'!$Q41</f>
        <v>1365812.2171095232</v>
      </c>
      <c r="AV40" s="178">
        <f>'Interventions cost'!AU39/'National data'!$Q41</f>
        <v>16449155.219398867</v>
      </c>
      <c r="AW40" s="234">
        <f>'Interventions cost'!AV39/'National data'!$Q41</f>
        <v>7569047.7648584852</v>
      </c>
      <c r="AX40" s="234">
        <f>'Interventions cost'!AW39/'National data'!$Q41</f>
        <v>17475227.644866783</v>
      </c>
      <c r="AY40" s="234">
        <f>'Interventions cost'!AX39/'National data'!$Q41</f>
        <v>1081768.9433919985</v>
      </c>
      <c r="AZ40" s="235">
        <f>'Interventions cost'!AY39/'National data'!$Q41</f>
        <v>13028280.929451656</v>
      </c>
      <c r="BA40" s="234">
        <f>'Interventions cost'!AZ39/'National data'!$Q41</f>
        <v>2124424.4138512318</v>
      </c>
      <c r="BB40" s="234">
        <f>'Interventions cost'!BA39/'National data'!$Q41</f>
        <v>4904817.8053157087</v>
      </c>
      <c r="BC40" s="234">
        <f>'Interventions cost'!BB39/'National data'!$Q41</f>
        <v>303622.91597072239</v>
      </c>
      <c r="BD40" s="235">
        <f>'Interventions cost'!BC39/'National data'!$Q41</f>
        <v>3656681.6509655081</v>
      </c>
      <c r="BE40" s="234">
        <f>'Interventions cost'!BD39/'National data'!$Q41</f>
        <v>2468504.6222045585</v>
      </c>
      <c r="BF40" s="234">
        <f>'Interventions cost'!BE39/'National data'!$Q41</f>
        <v>5699221.5606974782</v>
      </c>
      <c r="BG40" s="234">
        <f>'Interventions cost'!BF39/'National data'!$Q41</f>
        <v>352798.88829852233</v>
      </c>
      <c r="BH40" s="235">
        <f>'Interventions cost'!BG39/'National data'!$Q41</f>
        <v>4248932.3218496284</v>
      </c>
      <c r="BI40" s="234">
        <f>'Interventions cost'!BH39/'National data'!$Q41</f>
        <v>51242.691847156537</v>
      </c>
      <c r="BJ40" s="234">
        <f>'Interventions cost'!BI39/'National data'!$Q41</f>
        <v>118307.8417502313</v>
      </c>
      <c r="BK40" s="234">
        <f>'Interventions cost'!BJ39/'National data'!$Q41</f>
        <v>7323.6098302118044</v>
      </c>
      <c r="BL40" s="234">
        <f>'Interventions cost'!BK39/'National data'!$Q41</f>
        <v>88201.872376288171</v>
      </c>
      <c r="BM40" s="247">
        <f>'Interventions cost'!CF39/'National data'!$Q41</f>
        <v>9917475.9746444318</v>
      </c>
      <c r="BN40" s="234">
        <f>'Interventions cost'!CG39/'National data'!$Q41</f>
        <v>22897219.796134926</v>
      </c>
      <c r="BO40" s="234">
        <f>'Interventions cost'!CH39/'National data'!$Q41</f>
        <v>1417406.5007247603</v>
      </c>
      <c r="BP40" s="235">
        <f>'Interventions cost'!CI39/'National data'!$Q41</f>
        <v>17070530.81480597</v>
      </c>
      <c r="BQ40" s="26"/>
      <c r="BR40" s="26"/>
      <c r="BS40" s="26"/>
      <c r="BT40" s="26"/>
      <c r="BU40" s="26"/>
      <c r="BV40" s="26"/>
    </row>
    <row r="41" spans="1:74">
      <c r="A41" s="9">
        <v>39</v>
      </c>
      <c r="B41" s="1" t="s">
        <v>503</v>
      </c>
      <c r="C41" s="1" t="s">
        <v>504</v>
      </c>
      <c r="D41" s="135"/>
      <c r="E41" s="1">
        <f t="shared" si="8"/>
        <v>1.82</v>
      </c>
      <c r="F41" s="1">
        <f t="shared" si="8"/>
        <v>1.78</v>
      </c>
      <c r="G41" s="1">
        <f t="shared" si="8"/>
        <v>0.94</v>
      </c>
      <c r="H41" s="1">
        <f t="shared" si="8"/>
        <v>4.1900000000000004</v>
      </c>
      <c r="I41" s="1">
        <f t="shared" si="8"/>
        <v>8.31</v>
      </c>
      <c r="J41" s="1">
        <f t="shared" si="11"/>
        <v>4.13</v>
      </c>
      <c r="K41" s="180">
        <f t="shared" si="9"/>
        <v>3.5283333333333329</v>
      </c>
      <c r="L41" s="135"/>
      <c r="M41" s="114">
        <f t="shared" si="10"/>
        <v>0.20760000000000001</v>
      </c>
      <c r="N41" s="114">
        <f t="shared" si="10"/>
        <v>0.12889999999999999</v>
      </c>
      <c r="O41" s="114">
        <f t="shared" si="10"/>
        <v>3.61E-2</v>
      </c>
      <c r="P41" s="114">
        <f t="shared" si="10"/>
        <v>0.31319999999999998</v>
      </c>
      <c r="Q41" s="114">
        <f t="shared" si="10"/>
        <v>6.0199999999999997E-2</v>
      </c>
      <c r="R41" s="154">
        <f t="shared" si="10"/>
        <v>0.25390000000000001</v>
      </c>
      <c r="S41" s="185">
        <f t="shared" si="12"/>
        <v>0.377832</v>
      </c>
      <c r="T41" s="140">
        <f t="shared" si="12"/>
        <v>0.22944199999999998</v>
      </c>
      <c r="U41" s="140">
        <f t="shared" si="12"/>
        <v>3.3933999999999999E-2</v>
      </c>
      <c r="V41" s="140">
        <f t="shared" si="12"/>
        <v>1.312308</v>
      </c>
      <c r="W41" s="140">
        <f t="shared" si="12"/>
        <v>0.50026199999999998</v>
      </c>
      <c r="X41" s="186">
        <f t="shared" si="12"/>
        <v>1.0486070000000001</v>
      </c>
      <c r="Y41" s="78">
        <f>'Interventions cost'!D40/'National data'!Q42</f>
        <v>1533547.5864497232</v>
      </c>
      <c r="Z41" s="118">
        <f>'Interventions cost'!E40/'National data'!Q42</f>
        <v>3540616.2056299276</v>
      </c>
      <c r="AA41" s="118">
        <f>'Interventions cost'!F40/'National data'!Q42</f>
        <v>219174.75008378187</v>
      </c>
      <c r="AB41" s="178">
        <f>'Interventions cost'!G40/'National data'!$Q42</f>
        <v>2639630.4258654779</v>
      </c>
      <c r="AC41" s="247">
        <f>'Interventions cost'!H40/'National data'!$Q42</f>
        <v>334055.39482782001</v>
      </c>
      <c r="AD41" s="234">
        <f>'Interventions cost'!I40/'National data'!$Q42</f>
        <v>771258.71734027204</v>
      </c>
      <c r="AE41" s="234">
        <f>'Interventions cost'!J40/'National data'!$Q42</f>
        <v>47743.225135274864</v>
      </c>
      <c r="AF41" s="235">
        <f>'Interventions cost'!K40/'National data'!$Q42</f>
        <v>574995.38449498743</v>
      </c>
      <c r="AG41" s="247">
        <f>'Interventions cost'!L40/'National data'!$Q42</f>
        <v>259907.91687384926</v>
      </c>
      <c r="AH41" s="234">
        <f>'Interventions cost'!M40/'National data'!$Q42</f>
        <v>600068.87988750148</v>
      </c>
      <c r="AI41" s="234">
        <f>'Interventions cost'!N40/'National data'!$Q42</f>
        <v>37146.061347532777</v>
      </c>
      <c r="AJ41" s="235">
        <f>'Interventions cost'!O40/'National data'!$Q42</f>
        <v>447368.47513927473</v>
      </c>
      <c r="AK41" s="247">
        <f>'Interventions cost'!P40/'National data'!$Q42</f>
        <v>982760.55423045589</v>
      </c>
      <c r="AL41" s="234">
        <f>'Interventions cost'!Q40/'National data'!$Q42</f>
        <v>2268972.9195933752</v>
      </c>
      <c r="AM41" s="234">
        <f>'Interventions cost'!R40/'National data'!$Q42</f>
        <v>140456.22109732995</v>
      </c>
      <c r="AN41" s="235">
        <f>'Interventions cost'!S40/'National data'!$Q42</f>
        <v>1691584.0650844898</v>
      </c>
      <c r="AO41" s="247">
        <f>'Interventions cost'!T40/'National data'!$Q42</f>
        <v>4704.2156900244272</v>
      </c>
      <c r="AP41" s="234">
        <f>'Interventions cost'!U40/'National data'!$Q42</f>
        <v>10860.975201583753</v>
      </c>
      <c r="AQ41" s="234">
        <f>'Interventions cost'!V40/'National data'!$Q42</f>
        <v>672.32690221778864</v>
      </c>
      <c r="AR41" s="235">
        <f>'Interventions cost'!W40/'National data'!$Q42</f>
        <v>8097.1669708466134</v>
      </c>
      <c r="AS41" s="118">
        <f>'Interventions cost'!AR40/'National data'!$Q42</f>
        <v>339328.7081481971</v>
      </c>
      <c r="AT41" s="118">
        <f>'Interventions cost'!AS40/'National data'!$Q42</f>
        <v>783433.61087762564</v>
      </c>
      <c r="AU41" s="118">
        <f>'Interventions cost'!AT40/'National data'!$Q42</f>
        <v>48496.88751870492</v>
      </c>
      <c r="AV41" s="178">
        <f>'Interventions cost'!AU40/'National data'!$Q42</f>
        <v>584072.11508266616</v>
      </c>
      <c r="AW41" s="234">
        <f>'Interventions cost'!AV40/'National data'!$Q42</f>
        <v>271928.17972982273</v>
      </c>
      <c r="AX41" s="234">
        <f>'Interventions cost'!AW40/'National data'!$Q42</f>
        <v>627820.96129654255</v>
      </c>
      <c r="AY41" s="234">
        <f>'Interventions cost'!AX40/'National data'!$Q42</f>
        <v>38863.998326259672</v>
      </c>
      <c r="AZ41" s="235">
        <f>'Interventions cost'!AY40/'National data'!$Q42</f>
        <v>468058.44383792026</v>
      </c>
      <c r="BA41" s="234">
        <f>'Interventions cost'!AZ40/'National data'!$Q42</f>
        <v>56503.487179845702</v>
      </c>
      <c r="BB41" s="234">
        <f>'Interventions cost'!BA40/'National data'!$Q42</f>
        <v>130453.83407156718</v>
      </c>
      <c r="BC41" s="234">
        <f>'Interventions cost'!BB40/'National data'!$Q42</f>
        <v>8075.483141788286</v>
      </c>
      <c r="BD41" s="235">
        <f>'Interventions cost'!BC40/'National data'!$Q42</f>
        <v>97257.056282622507</v>
      </c>
      <c r="BE41" s="234">
        <f>'Interventions cost'!BD40/'National data'!$Q42</f>
        <v>86630.69298453971</v>
      </c>
      <c r="BF41" s="234">
        <f>'Interventions cost'!BE40/'National data'!$Q42</f>
        <v>200010.77123149842</v>
      </c>
      <c r="BG41" s="234">
        <f>'Interventions cost'!BF40/'National data'!$Q42</f>
        <v>12381.265930213647</v>
      </c>
      <c r="BH41" s="235">
        <f>'Interventions cost'!BG40/'National data'!$Q42</f>
        <v>149113.73799961241</v>
      </c>
      <c r="BI41" s="234">
        <f>'Interventions cost'!BH40/'National data'!$Q42</f>
        <v>2083.8040155459407</v>
      </c>
      <c r="BJ41" s="234">
        <f>'Interventions cost'!BI40/'National data'!$Q42</f>
        <v>4811.0344484837142</v>
      </c>
      <c r="BK41" s="234">
        <f>'Interventions cost'!BJ40/'National data'!$Q42</f>
        <v>297.81744522724392</v>
      </c>
      <c r="BL41" s="234">
        <f>'Interventions cost'!BK40/'National data'!$Q42</f>
        <v>3586.7634819925775</v>
      </c>
      <c r="BM41" s="247">
        <f>'Interventions cost'!CF40/'National data'!$Q42</f>
        <v>303017.64347071381</v>
      </c>
      <c r="BN41" s="234">
        <f>'Interventions cost'!CG40/'National data'!$Q42</f>
        <v>699599.53544576536</v>
      </c>
      <c r="BO41" s="234">
        <f>'Interventions cost'!CH40/'National data'!$Q42</f>
        <v>43307.307099888007</v>
      </c>
      <c r="BP41" s="235">
        <f>'Interventions cost'!CI40/'National data'!$Q42</f>
        <v>521571.41933304898</v>
      </c>
      <c r="BQ41" s="26"/>
      <c r="BR41" s="26"/>
      <c r="BS41" s="26"/>
      <c r="BT41" s="26"/>
      <c r="BU41" s="26"/>
      <c r="BV41" s="26"/>
    </row>
    <row r="42" spans="1:74">
      <c r="A42" s="9">
        <v>40</v>
      </c>
      <c r="B42" s="1" t="s">
        <v>508</v>
      </c>
      <c r="C42" s="1" t="s">
        <v>509</v>
      </c>
      <c r="D42" s="135"/>
      <c r="E42" s="1">
        <f t="shared" si="8"/>
        <v>1.82</v>
      </c>
      <c r="F42" s="1">
        <f t="shared" si="8"/>
        <v>1.78</v>
      </c>
      <c r="G42" s="1">
        <f t="shared" si="8"/>
        <v>0.94</v>
      </c>
      <c r="H42" s="1">
        <f t="shared" si="8"/>
        <v>4.1900000000000004</v>
      </c>
      <c r="I42" s="1">
        <f t="shared" si="8"/>
        <v>8.31</v>
      </c>
      <c r="J42" s="1">
        <f t="shared" si="11"/>
        <v>4.13</v>
      </c>
      <c r="K42" s="180">
        <f t="shared" si="9"/>
        <v>3.5283333333333329</v>
      </c>
      <c r="L42" s="135"/>
      <c r="M42" s="114">
        <f t="shared" si="10"/>
        <v>0.20760000000000001</v>
      </c>
      <c r="N42" s="114">
        <f t="shared" si="10"/>
        <v>0.12889999999999999</v>
      </c>
      <c r="O42" s="114">
        <f t="shared" si="10"/>
        <v>3.61E-2</v>
      </c>
      <c r="P42" s="114">
        <f t="shared" si="10"/>
        <v>0.31319999999999998</v>
      </c>
      <c r="Q42" s="114">
        <f t="shared" si="10"/>
        <v>6.0199999999999997E-2</v>
      </c>
      <c r="R42" s="154">
        <f t="shared" si="10"/>
        <v>0.25390000000000001</v>
      </c>
      <c r="S42" s="185">
        <f t="shared" si="12"/>
        <v>0.377832</v>
      </c>
      <c r="T42" s="140">
        <f t="shared" si="12"/>
        <v>0.22944199999999998</v>
      </c>
      <c r="U42" s="140">
        <f t="shared" si="12"/>
        <v>3.3933999999999999E-2</v>
      </c>
      <c r="V42" s="140">
        <f t="shared" si="12"/>
        <v>1.312308</v>
      </c>
      <c r="W42" s="140">
        <f t="shared" si="12"/>
        <v>0.50026199999999998</v>
      </c>
      <c r="X42" s="186">
        <f t="shared" si="12"/>
        <v>1.0486070000000001</v>
      </c>
      <c r="Y42" s="78">
        <f>'Interventions cost'!D41/'National data'!Q43</f>
        <v>7193149.0522658462</v>
      </c>
      <c r="Z42" s="118">
        <f>'Interventions cost'!E41/'National data'!Q43</f>
        <v>16607362.124917652</v>
      </c>
      <c r="AA42" s="118">
        <f>'Interventions cost'!F41/'National data'!Q43</f>
        <v>1028045.4677611962</v>
      </c>
      <c r="AB42" s="178">
        <f>'Interventions cost'!G41/'National data'!$Q43</f>
        <v>12381262.416579628</v>
      </c>
      <c r="AC42" s="247">
        <f>'Interventions cost'!H41/'National data'!$Q43</f>
        <v>1666869.0567534934</v>
      </c>
      <c r="AD42" s="234">
        <f>'Interventions cost'!I41/'National data'!$Q43</f>
        <v>3848425.4725133544</v>
      </c>
      <c r="AE42" s="234">
        <f>'Interventions cost'!J41/'National data'!$Q43</f>
        <v>238229.06583689078</v>
      </c>
      <c r="AF42" s="235">
        <f>'Interventions cost'!K41/'National data'!$Q43</f>
        <v>2869111.0188020626</v>
      </c>
      <c r="AG42" s="247">
        <f>'Interventions cost'!L41/'National data'!$Q43</f>
        <v>1587956.945090482</v>
      </c>
      <c r="AH42" s="234">
        <f>'Interventions cost'!M41/'National data'!$Q43</f>
        <v>3666235.1682520024</v>
      </c>
      <c r="AI42" s="234">
        <f>'Interventions cost'!N41/'National data'!$Q43</f>
        <v>226950.94019856973</v>
      </c>
      <c r="AJ42" s="235">
        <f>'Interventions cost'!O41/'National data'!$Q43</f>
        <v>2733282.9475015779</v>
      </c>
      <c r="AK42" s="247">
        <f>'Interventions cost'!P41/'National data'!$Q43</f>
        <v>4037659.7721350314</v>
      </c>
      <c r="AL42" s="234">
        <f>'Interventions cost'!Q41/'National data'!$Q43</f>
        <v>9322047.6158403289</v>
      </c>
      <c r="AM42" s="234">
        <f>'Interventions cost'!R41/'National data'!$Q43</f>
        <v>577062.67435089336</v>
      </c>
      <c r="AN42" s="235">
        <f>'Interventions cost'!S41/'National data'!$Q43</f>
        <v>6949852.536688867</v>
      </c>
      <c r="AO42" s="247">
        <f>'Interventions cost'!T41/'National data'!$Q43</f>
        <v>181411.11592975628</v>
      </c>
      <c r="AP42" s="234">
        <f>'Interventions cost'!U41/'National data'!$Q43</f>
        <v>418837.43459783553</v>
      </c>
      <c r="AQ42" s="234">
        <f>'Interventions cost'!V41/'National data'!$Q43</f>
        <v>25927.291952102616</v>
      </c>
      <c r="AR42" s="235">
        <f>'Interventions cost'!W41/'National data'!$Q43</f>
        <v>312255.26056676632</v>
      </c>
      <c r="AS42" s="118">
        <f>'Interventions cost'!AR41/'National data'!$Q43</f>
        <v>2095417.4629994098</v>
      </c>
      <c r="AT42" s="118">
        <f>'Interventions cost'!AS41/'National data'!$Q43</f>
        <v>4837847.2846945422</v>
      </c>
      <c r="AU42" s="118">
        <f>'Interventions cost'!AT41/'National data'!$Q43</f>
        <v>299477.24011441664</v>
      </c>
      <c r="AV42" s="178">
        <f>'Interventions cost'!AU41/'National data'!$Q43</f>
        <v>3606753.2165911221</v>
      </c>
      <c r="AW42" s="234">
        <f>'Interventions cost'!AV41/'National data'!$Q43</f>
        <v>1401129.4185397413</v>
      </c>
      <c r="AX42" s="234">
        <f>'Interventions cost'!AW41/'National data'!$Q43</f>
        <v>3234892.460658107</v>
      </c>
      <c r="AY42" s="234">
        <f>'Interventions cost'!AX41/'National data'!$Q43</f>
        <v>200249.53438479448</v>
      </c>
      <c r="AZ42" s="235">
        <f>'Interventions cost'!AY41/'National data'!$Q43</f>
        <v>2411704.6490320689</v>
      </c>
      <c r="BA42" s="234">
        <f>'Interventions cost'!AZ41/'National data'!$Q43</f>
        <v>492563.52398266352</v>
      </c>
      <c r="BB42" s="234">
        <f>'Interventions cost'!BA41/'National data'!$Q43</f>
        <v>1137218.3104879349</v>
      </c>
      <c r="BC42" s="234">
        <f>'Interventions cost'!BB41/'National data'!$Q43</f>
        <v>70397.220290513957</v>
      </c>
      <c r="BD42" s="235">
        <f>'Interventions cost'!BC41/'National data'!$Q43</f>
        <v>847828.7051960252</v>
      </c>
      <c r="BE42" s="234">
        <f>'Interventions cost'!BD41/'National data'!$Q43</f>
        <v>623208.74086541275</v>
      </c>
      <c r="BF42" s="234">
        <f>'Interventions cost'!BE41/'National data'!$Q43</f>
        <v>1438848.7105943765</v>
      </c>
      <c r="BG42" s="234">
        <f>'Interventions cost'!BF41/'National data'!$Q43</f>
        <v>89069.045679518138</v>
      </c>
      <c r="BH42" s="235">
        <f>'Interventions cost'!BG41/'National data'!$Q43</f>
        <v>1072702.7766135703</v>
      </c>
      <c r="BI42" s="234">
        <f>'Interventions cost'!BH41/'National data'!$Q43</f>
        <v>32452.619009889495</v>
      </c>
      <c r="BJ42" s="234">
        <f>'Interventions cost'!BI41/'National data'!$Q43</f>
        <v>74925.79284582613</v>
      </c>
      <c r="BK42" s="234">
        <f>'Interventions cost'!BJ41/'National data'!$Q43</f>
        <v>4638.1310393656368</v>
      </c>
      <c r="BL42" s="234">
        <f>'Interventions cost'!BK41/'National data'!$Q43</f>
        <v>55859.316850963027</v>
      </c>
      <c r="BM42" s="247">
        <f>'Interventions cost'!CF41/'National data'!$Q43</f>
        <v>2215753.8768704394</v>
      </c>
      <c r="BN42" s="234">
        <f>'Interventions cost'!CG41/'National data'!$Q43</f>
        <v>5115676.9789562821</v>
      </c>
      <c r="BO42" s="234">
        <f>'Interventions cost'!CH41/'National data'!$Q43</f>
        <v>316675.73050963209</v>
      </c>
      <c r="BP42" s="235">
        <f>'Interventions cost'!CI41/'National data'!$Q43</f>
        <v>3813883.182560341</v>
      </c>
      <c r="BQ42" s="26"/>
      <c r="BR42" s="26"/>
      <c r="BS42" s="26"/>
      <c r="BT42" s="26"/>
      <c r="BU42" s="26"/>
      <c r="BV42" s="26"/>
    </row>
    <row r="43" spans="1:74">
      <c r="A43" s="9">
        <v>41</v>
      </c>
      <c r="B43" s="1" t="s">
        <v>513</v>
      </c>
      <c r="C43" s="1" t="s">
        <v>514</v>
      </c>
      <c r="D43" s="135"/>
      <c r="E43" s="1">
        <f t="shared" si="8"/>
        <v>1.82</v>
      </c>
      <c r="F43" s="1">
        <f t="shared" si="8"/>
        <v>1.78</v>
      </c>
      <c r="G43" s="1">
        <f t="shared" si="8"/>
        <v>0.94</v>
      </c>
      <c r="H43" s="1">
        <f t="shared" si="8"/>
        <v>4.1900000000000004</v>
      </c>
      <c r="I43" s="1">
        <f t="shared" si="8"/>
        <v>8.31</v>
      </c>
      <c r="J43" s="1">
        <f t="shared" si="11"/>
        <v>4.13</v>
      </c>
      <c r="K43" s="180">
        <f t="shared" si="9"/>
        <v>3.5283333333333329</v>
      </c>
      <c r="L43" s="135"/>
      <c r="M43" s="114">
        <f t="shared" si="10"/>
        <v>0.20760000000000001</v>
      </c>
      <c r="N43" s="114">
        <f t="shared" si="10"/>
        <v>0.12889999999999999</v>
      </c>
      <c r="O43" s="114">
        <f t="shared" si="10"/>
        <v>3.61E-2</v>
      </c>
      <c r="P43" s="114">
        <f t="shared" si="10"/>
        <v>0.31319999999999998</v>
      </c>
      <c r="Q43" s="114">
        <f t="shared" si="10"/>
        <v>6.0199999999999997E-2</v>
      </c>
      <c r="R43" s="154">
        <f t="shared" si="10"/>
        <v>0.25390000000000001</v>
      </c>
      <c r="S43" s="185">
        <f t="shared" si="12"/>
        <v>0.377832</v>
      </c>
      <c r="T43" s="140">
        <f t="shared" si="12"/>
        <v>0.22944199999999998</v>
      </c>
      <c r="U43" s="140">
        <f t="shared" si="12"/>
        <v>3.3933999999999999E-2</v>
      </c>
      <c r="V43" s="140">
        <f t="shared" si="12"/>
        <v>1.312308</v>
      </c>
      <c r="W43" s="140">
        <f t="shared" si="12"/>
        <v>0.50026199999999998</v>
      </c>
      <c r="X43" s="186">
        <f t="shared" si="12"/>
        <v>1.0486070000000001</v>
      </c>
      <c r="Y43" s="78">
        <f>'Interventions cost'!D42/'National data'!Q44</f>
        <v>1195538.7185758459</v>
      </c>
      <c r="Z43" s="118">
        <f>'Interventions cost'!E42/'National data'!Q44</f>
        <v>2760229.8088755487</v>
      </c>
      <c r="AA43" s="118">
        <f>'Interventions cost'!F42/'National data'!Q44</f>
        <v>170866.49424813036</v>
      </c>
      <c r="AB43" s="178">
        <f>'Interventions cost'!G42/'National data'!$Q44</f>
        <v>2057830.0958752076</v>
      </c>
      <c r="AC43" s="247">
        <f>'Interventions cost'!H42/'National data'!$Q44</f>
        <v>206779.20660316088</v>
      </c>
      <c r="AD43" s="234">
        <f>'Interventions cost'!I42/'National data'!$Q44</f>
        <v>477406.64610308968</v>
      </c>
      <c r="AE43" s="234">
        <f>'Interventions cost'!J42/'National data'!$Q44</f>
        <v>29552.90160554551</v>
      </c>
      <c r="AF43" s="235">
        <f>'Interventions cost'!K42/'National data'!$Q44</f>
        <v>355920.27923283592</v>
      </c>
      <c r="AG43" s="247">
        <f>'Interventions cost'!L42/'National data'!$Q44</f>
        <v>289815.50338351954</v>
      </c>
      <c r="AH43" s="234">
        <f>'Interventions cost'!M42/'National data'!$Q44</f>
        <v>669118.76552721858</v>
      </c>
      <c r="AI43" s="234">
        <f>'Interventions cost'!N42/'National data'!$Q44</f>
        <v>41420.456127835198</v>
      </c>
      <c r="AJ43" s="235">
        <f>'Interventions cost'!O42/'National data'!$Q44</f>
        <v>498847.13547735603</v>
      </c>
      <c r="AK43" s="247">
        <f>'Interventions cost'!P42/'National data'!$Q44</f>
        <v>723440.45481259958</v>
      </c>
      <c r="AL43" s="234">
        <f>'Interventions cost'!Q42/'National data'!$Q44</f>
        <v>1670261.1779055812</v>
      </c>
      <c r="AM43" s="234">
        <f>'Interventions cost'!R42/'National data'!$Q44</f>
        <v>103394.17067006502</v>
      </c>
      <c r="AN43" s="235">
        <f>'Interventions cost'!S42/'National data'!$Q44</f>
        <v>1245227.3752040514</v>
      </c>
      <c r="AO43" s="247">
        <f>'Interventions cost'!T42/'National data'!$Q44</f>
        <v>31249.521123491813</v>
      </c>
      <c r="AP43" s="234">
        <f>'Interventions cost'!U42/'National data'!$Q44</f>
        <v>72148.110619870378</v>
      </c>
      <c r="AQ43" s="234">
        <f>'Interventions cost'!V42/'National data'!$Q44</f>
        <v>4466.1841882164017</v>
      </c>
      <c r="AR43" s="235">
        <f>'Interventions cost'!W42/'National data'!$Q44</f>
        <v>53788.475480085297</v>
      </c>
      <c r="AS43" s="118">
        <f>'Interventions cost'!AR42/'National data'!$Q44</f>
        <v>299215.31167690974</v>
      </c>
      <c r="AT43" s="118">
        <f>'Interventions cost'!AS42/'National data'!$Q44</f>
        <v>690820.80716417881</v>
      </c>
      <c r="AU43" s="118">
        <f>'Interventions cost'!AT42/'National data'!$Q44</f>
        <v>42763.877520000002</v>
      </c>
      <c r="AV43" s="178">
        <f>'Interventions cost'!AU42/'National data'!$Q44</f>
        <v>515026.62686567148</v>
      </c>
      <c r="AW43" s="234">
        <f>'Interventions cost'!AV42/'National data'!$Q44</f>
        <v>174947.21263714103</v>
      </c>
      <c r="AX43" s="234">
        <f>'Interventions cost'!AW42/'National data'!$Q44</f>
        <v>403913.73679303424</v>
      </c>
      <c r="AY43" s="234">
        <f>'Interventions cost'!AX42/'National data'!$Q44</f>
        <v>25003.470349667379</v>
      </c>
      <c r="AZ43" s="235">
        <f>'Interventions cost'!AY42/'National data'!$Q44</f>
        <v>301129.21795041702</v>
      </c>
      <c r="BA43" s="234">
        <f>'Interventions cost'!AZ42/'National data'!$Q44</f>
        <v>91042.65700831826</v>
      </c>
      <c r="BB43" s="234">
        <f>'Interventions cost'!BA42/'National data'!$Q44</f>
        <v>210197.00311583831</v>
      </c>
      <c r="BC43" s="234">
        <f>'Interventions cost'!BB42/'National data'!$Q44</f>
        <v>13011.82419970234</v>
      </c>
      <c r="BD43" s="235">
        <f>'Interventions cost'!BC42/'National data'!$Q44</f>
        <v>156707.86457115947</v>
      </c>
      <c r="BE43" s="234">
        <f>'Interventions cost'!BD42/'National data'!$Q44</f>
        <v>108485.02997703513</v>
      </c>
      <c r="BF43" s="234">
        <f>'Interventions cost'!BE42/'National data'!$Q44</f>
        <v>250467.51636456751</v>
      </c>
      <c r="BG43" s="234">
        <f>'Interventions cost'!BF42/'National data'!$Q44</f>
        <v>15504.689611943637</v>
      </c>
      <c r="BH43" s="235">
        <f>'Interventions cost'!BG42/'National data'!$Q44</f>
        <v>186730.68146600915</v>
      </c>
      <c r="BI43" s="234">
        <f>'Interventions cost'!BH42/'National data'!$Q44</f>
        <v>6596.5764811963336</v>
      </c>
      <c r="BJ43" s="234">
        <f>'Interventions cost'!BI42/'National data'!$Q44</f>
        <v>15230.010335102636</v>
      </c>
      <c r="BK43" s="234">
        <f>'Interventions cost'!BJ42/'National data'!$Q44</f>
        <v>942.78326571000059</v>
      </c>
      <c r="BL43" s="234">
        <f>'Interventions cost'!BK42/'National data'!$Q44</f>
        <v>11354.407349448973</v>
      </c>
      <c r="BM43" s="247">
        <f>'Interventions cost'!CF42/'National data'!$Q44</f>
        <v>233722.18014799961</v>
      </c>
      <c r="BN43" s="234">
        <f>'Interventions cost'!CG42/'National data'!$Q44</f>
        <v>539611.90768324083</v>
      </c>
      <c r="BO43" s="234">
        <f>'Interventions cost'!CH42/'National data'!$Q44</f>
        <v>33403.593651479998</v>
      </c>
      <c r="BP43" s="235">
        <f>'Interventions cost'!CI42/'National data'!$Q44</f>
        <v>402296.07699786773</v>
      </c>
      <c r="BQ43" s="26"/>
      <c r="BR43" s="26"/>
      <c r="BS43" s="26"/>
      <c r="BT43" s="26"/>
      <c r="BU43" s="26"/>
      <c r="BV43" s="26"/>
    </row>
    <row r="44" spans="1:74">
      <c r="A44" s="9">
        <v>42</v>
      </c>
      <c r="B44" s="1" t="s">
        <v>518</v>
      </c>
      <c r="C44" s="1" t="s">
        <v>519</v>
      </c>
      <c r="D44" s="135"/>
      <c r="E44" s="1">
        <f t="shared" si="8"/>
        <v>1.82</v>
      </c>
      <c r="F44" s="1">
        <f t="shared" si="8"/>
        <v>1.78</v>
      </c>
      <c r="G44" s="1">
        <f t="shared" si="8"/>
        <v>0.94</v>
      </c>
      <c r="H44" s="1">
        <f t="shared" si="8"/>
        <v>4.1900000000000004</v>
      </c>
      <c r="I44" s="1">
        <f t="shared" si="8"/>
        <v>8.31</v>
      </c>
      <c r="J44" s="1">
        <f t="shared" si="11"/>
        <v>4.13</v>
      </c>
      <c r="K44" s="180">
        <f t="shared" si="9"/>
        <v>3.5283333333333329</v>
      </c>
      <c r="L44" s="135"/>
      <c r="M44" s="114">
        <f t="shared" si="10"/>
        <v>0.20760000000000001</v>
      </c>
      <c r="N44" s="114">
        <f t="shared" si="10"/>
        <v>0.12889999999999999</v>
      </c>
      <c r="O44" s="114">
        <f t="shared" si="10"/>
        <v>3.61E-2</v>
      </c>
      <c r="P44" s="114">
        <f t="shared" si="10"/>
        <v>0.31319999999999998</v>
      </c>
      <c r="Q44" s="114">
        <f t="shared" si="10"/>
        <v>6.0199999999999997E-2</v>
      </c>
      <c r="R44" s="154">
        <f t="shared" si="10"/>
        <v>0.25390000000000001</v>
      </c>
      <c r="S44" s="185">
        <f t="shared" si="12"/>
        <v>0.377832</v>
      </c>
      <c r="T44" s="140">
        <f t="shared" si="12"/>
        <v>0.22944199999999998</v>
      </c>
      <c r="U44" s="140">
        <f t="shared" si="12"/>
        <v>3.3933999999999999E-2</v>
      </c>
      <c r="V44" s="140">
        <f t="shared" si="12"/>
        <v>1.312308</v>
      </c>
      <c r="W44" s="140">
        <f t="shared" si="12"/>
        <v>0.50026199999999998</v>
      </c>
      <c r="X44" s="186">
        <f t="shared" si="12"/>
        <v>1.0486070000000001</v>
      </c>
      <c r="Y44" s="78">
        <f>'Interventions cost'!D43/'National data'!Q45</f>
        <v>10840873.959448144</v>
      </c>
      <c r="Z44" s="118">
        <f>'Interventions cost'!E43/'National data'!Q45</f>
        <v>25029137.904271986</v>
      </c>
      <c r="AA44" s="118">
        <f>'Interventions cost'!F43/'National data'!Q45</f>
        <v>1549378.6184050203</v>
      </c>
      <c r="AB44" s="178">
        <f>'Interventions cost'!G43/'National data'!$Q45</f>
        <v>18659936.606584217</v>
      </c>
      <c r="AC44" s="247">
        <f>'Interventions cost'!H43/'National data'!$Q45</f>
        <v>2241674.4068111121</v>
      </c>
      <c r="AD44" s="234">
        <f>'Interventions cost'!I43/'National data'!$Q45</f>
        <v>5175521.6483864142</v>
      </c>
      <c r="AE44" s="234">
        <f>'Interventions cost'!J43/'National data'!$Q45</f>
        <v>320380.29482963361</v>
      </c>
      <c r="AF44" s="235">
        <f>'Interventions cost'!K43/'National data'!$Q45</f>
        <v>3858499.0915093133</v>
      </c>
      <c r="AG44" s="247">
        <f>'Interventions cost'!L43/'National data'!$Q45</f>
        <v>1808611.6172311159</v>
      </c>
      <c r="AH44" s="234">
        <f>'Interventions cost'!M43/'National data'!$Q45</f>
        <v>4175677.1411859812</v>
      </c>
      <c r="AI44" s="234">
        <f>'Interventions cost'!N43/'National data'!$Q45</f>
        <v>258486.92450617361</v>
      </c>
      <c r="AJ44" s="235">
        <f>'Interventions cost'!O43/'National data'!$Q45</f>
        <v>3113086.4771332853</v>
      </c>
      <c r="AK44" s="247">
        <f>'Interventions cost'!P43/'National data'!$Q45</f>
        <v>5184868.6414138805</v>
      </c>
      <c r="AL44" s="234">
        <f>'Interventions cost'!Q43/'National data'!$Q45</f>
        <v>11970694.680790236</v>
      </c>
      <c r="AM44" s="234">
        <f>'Interventions cost'!R43/'National data'!$Q45</f>
        <v>741021.86247115897</v>
      </c>
      <c r="AN44" s="235">
        <f>'Interventions cost'!S43/'National data'!$Q45</f>
        <v>8924494.51254154</v>
      </c>
      <c r="AO44" s="247">
        <f>'Interventions cost'!T43/'National data'!$Q45</f>
        <v>119087.35702997629</v>
      </c>
      <c r="AP44" s="234">
        <f>'Interventions cost'!U43/'National data'!$Q45</f>
        <v>274945.90315394464</v>
      </c>
      <c r="AQ44" s="234">
        <f>'Interventions cost'!V43/'National data'!$Q45</f>
        <v>17019.975086400005</v>
      </c>
      <c r="AR44" s="235">
        <f>'Interventions cost'!W43/'National data'!$Q45</f>
        <v>204980.01739872075</v>
      </c>
      <c r="AS44" s="118">
        <f>'Interventions cost'!AR43/'National data'!$Q45</f>
        <v>3396335.5841680006</v>
      </c>
      <c r="AT44" s="118">
        <f>'Interventions cost'!AS43/'National data'!$Q45</f>
        <v>7841374.4153201403</v>
      </c>
      <c r="AU44" s="118">
        <f>'Interventions cost'!AT43/'National data'!$Q45</f>
        <v>485404.56744742912</v>
      </c>
      <c r="AV44" s="178">
        <f>'Interventions cost'!AU43/'National data'!$Q45</f>
        <v>5845968.4092192138</v>
      </c>
      <c r="AW44" s="234">
        <f>'Interventions cost'!AV43/'National data'!$Q45</f>
        <v>2039334.0818995938</v>
      </c>
      <c r="AX44" s="234">
        <f>'Interventions cost'!AW43/'National data'!$Q45</f>
        <v>4708363.381004123</v>
      </c>
      <c r="AY44" s="234">
        <f>'Interventions cost'!AX43/'National data'!$Q45</f>
        <v>291461.79856893269</v>
      </c>
      <c r="AZ44" s="235">
        <f>'Interventions cost'!AY43/'National data'!$Q45</f>
        <v>3510219.2710881936</v>
      </c>
      <c r="BA44" s="234">
        <f>'Interventions cost'!AZ43/'National data'!$Q45</f>
        <v>949268.48575453681</v>
      </c>
      <c r="BB44" s="234">
        <f>'Interventions cost'!BA43/'National data'!$Q45</f>
        <v>2191647.2718901732</v>
      </c>
      <c r="BC44" s="234">
        <f>'Interventions cost'!BB43/'National data'!$Q45</f>
        <v>135669.53185282304</v>
      </c>
      <c r="BD44" s="235">
        <f>'Interventions cost'!BC43/'National data'!$Q45</f>
        <v>1633935.5879486261</v>
      </c>
      <c r="BE44" s="234">
        <f>'Interventions cost'!BD43/'National data'!$Q45</f>
        <v>794602.57884913508</v>
      </c>
      <c r="BF44" s="234">
        <f>'Interventions cost'!BE43/'National data'!$Q45</f>
        <v>1834558.5051076051</v>
      </c>
      <c r="BG44" s="234">
        <f>'Interventions cost'!BF43/'National data'!$Q45</f>
        <v>113564.66742474797</v>
      </c>
      <c r="BH44" s="235">
        <f>'Interventions cost'!BG43/'National data'!$Q45</f>
        <v>1367715.7214645804</v>
      </c>
      <c r="BI44" s="234">
        <f>'Interventions cost'!BH43/'National data'!$Q45</f>
        <v>31232.089600599073</v>
      </c>
      <c r="BJ44" s="234">
        <f>'Interventions cost'!BI43/'National data'!$Q45</f>
        <v>72107.865157004941</v>
      </c>
      <c r="BK44" s="234">
        <f>'Interventions cost'!BJ43/'National data'!$Q45</f>
        <v>4463.6928734979319</v>
      </c>
      <c r="BL44" s="234">
        <f>'Interventions cost'!BK43/'National data'!$Q45</f>
        <v>53758.471338966097</v>
      </c>
      <c r="BM44" s="247">
        <f>'Interventions cost'!CF43/'National data'!$Q45</f>
        <v>2374980.8134955489</v>
      </c>
      <c r="BN44" s="234">
        <f>'Interventions cost'!CG43/'National data'!$Q45</f>
        <v>5483296.136763325</v>
      </c>
      <c r="BO44" s="234">
        <f>'Interventions cost'!CH43/'National data'!$Q45</f>
        <v>339432.457689</v>
      </c>
      <c r="BP44" s="235">
        <f>'Interventions cost'!CI43/'National data'!$Q45</f>
        <v>4087953.7560767583</v>
      </c>
      <c r="BQ44" s="26"/>
      <c r="BR44" s="26"/>
      <c r="BS44" s="26"/>
      <c r="BT44" s="26"/>
      <c r="BU44" s="26"/>
      <c r="BV44" s="26"/>
    </row>
    <row r="45" spans="1:74">
      <c r="A45" s="9">
        <v>43</v>
      </c>
      <c r="B45" s="1" t="s">
        <v>523</v>
      </c>
      <c r="C45" s="1" t="s">
        <v>524</v>
      </c>
      <c r="D45" s="135"/>
      <c r="E45" s="1">
        <f t="shared" si="8"/>
        <v>1.82</v>
      </c>
      <c r="F45" s="1">
        <f t="shared" si="8"/>
        <v>1.78</v>
      </c>
      <c r="G45" s="1">
        <f t="shared" si="8"/>
        <v>0.94</v>
      </c>
      <c r="H45" s="1">
        <f t="shared" si="8"/>
        <v>4.1900000000000004</v>
      </c>
      <c r="I45" s="1">
        <f t="shared" si="8"/>
        <v>8.31</v>
      </c>
      <c r="J45" s="1">
        <f t="shared" si="11"/>
        <v>4.13</v>
      </c>
      <c r="K45" s="180">
        <f t="shared" si="9"/>
        <v>3.5283333333333329</v>
      </c>
      <c r="L45" s="135"/>
      <c r="M45" s="114">
        <f t="shared" si="10"/>
        <v>0.20760000000000001</v>
      </c>
      <c r="N45" s="114">
        <f t="shared" si="10"/>
        <v>0.12889999999999999</v>
      </c>
      <c r="O45" s="114">
        <f t="shared" si="10"/>
        <v>3.61E-2</v>
      </c>
      <c r="P45" s="114">
        <f t="shared" si="10"/>
        <v>0.31319999999999998</v>
      </c>
      <c r="Q45" s="114">
        <f t="shared" si="10"/>
        <v>6.0199999999999997E-2</v>
      </c>
      <c r="R45" s="154">
        <f t="shared" si="10"/>
        <v>0.25390000000000001</v>
      </c>
      <c r="S45" s="185">
        <f t="shared" si="12"/>
        <v>0.377832</v>
      </c>
      <c r="T45" s="140">
        <f t="shared" si="12"/>
        <v>0.22944199999999998</v>
      </c>
      <c r="U45" s="140">
        <f t="shared" si="12"/>
        <v>3.3933999999999999E-2</v>
      </c>
      <c r="V45" s="140">
        <f t="shared" si="12"/>
        <v>1.312308</v>
      </c>
      <c r="W45" s="140">
        <f t="shared" si="12"/>
        <v>0.50026199999999998</v>
      </c>
      <c r="X45" s="186">
        <f t="shared" si="12"/>
        <v>1.0486070000000001</v>
      </c>
      <c r="Y45" s="78">
        <f>'Interventions cost'!D44/'National data'!Q46</f>
        <v>63368749.518285476</v>
      </c>
      <c r="Z45" s="118">
        <f>'Interventions cost'!E44/'National data'!Q46</f>
        <v>146304179.57512853</v>
      </c>
      <c r="AA45" s="118">
        <f>'Interventions cost'!F44/'National data'!Q46</f>
        <v>9056667.012821991</v>
      </c>
      <c r="AB45" s="178">
        <f>'Interventions cost'!G44/'National data'!$Q46</f>
        <v>109073941.20371403</v>
      </c>
      <c r="AC45" s="247">
        <f>'Interventions cost'!H44/'National data'!$Q46</f>
        <v>11359484.35694235</v>
      </c>
      <c r="AD45" s="234">
        <f>'Interventions cost'!I44/'National data'!$Q46</f>
        <v>26226492.583057728</v>
      </c>
      <c r="AE45" s="234">
        <f>'Interventions cost'!J44/'National data'!$Q46</f>
        <v>1623498.4600493147</v>
      </c>
      <c r="AF45" s="235">
        <f>'Interventions cost'!K44/'National data'!$Q46</f>
        <v>19552598.690559778</v>
      </c>
      <c r="AG45" s="247">
        <f>'Interventions cost'!L44/'National data'!$Q46</f>
        <v>9175973.8794197403</v>
      </c>
      <c r="AH45" s="234">
        <f>'Interventions cost'!M44/'National data'!$Q46</f>
        <v>21185258.355838817</v>
      </c>
      <c r="AI45" s="234">
        <f>'Interventions cost'!N44/'National data'!$Q46</f>
        <v>1311430.9588873438</v>
      </c>
      <c r="AJ45" s="235">
        <f>'Interventions cost'!O44/'National data'!$Q46</f>
        <v>15794214.703918684</v>
      </c>
      <c r="AK45" s="247">
        <f>'Interventions cost'!P44/'National data'!$Q46</f>
        <v>35890979.60132955</v>
      </c>
      <c r="AL45" s="234">
        <f>'Interventions cost'!Q44/'National data'!$Q46</f>
        <v>82864193.543932587</v>
      </c>
      <c r="AM45" s="234">
        <f>'Interventions cost'!R44/'National data'!$Q46</f>
        <v>5129541.8243882535</v>
      </c>
      <c r="AN45" s="235">
        <f>'Interventions cost'!S44/'National data'!$Q46</f>
        <v>61777621.123002999</v>
      </c>
      <c r="AO45" s="247">
        <f>'Interventions cost'!T44/'National data'!$Q46</f>
        <v>1184503.5201990923</v>
      </c>
      <c r="AP45" s="234">
        <f>'Interventions cost'!U44/'National data'!$Q46</f>
        <v>2734752.0196303325</v>
      </c>
      <c r="AQ45" s="234">
        <f>'Interventions cost'!V44/'National data'!$Q46</f>
        <v>169289.34276765407</v>
      </c>
      <c r="AR45" s="235">
        <f>'Interventions cost'!W44/'National data'!$Q46</f>
        <v>2038835.6768900261</v>
      </c>
      <c r="AS45" s="118">
        <f>'Interventions cost'!AR44/'National data'!$Q46</f>
        <v>17403474.922078531</v>
      </c>
      <c r="AT45" s="118">
        <f>'Interventions cost'!AS44/'National data'!$Q46</f>
        <v>40180706.414228678</v>
      </c>
      <c r="AU45" s="118">
        <f>'Interventions cost'!AT44/'National data'!$Q46</f>
        <v>2487306.1001429716</v>
      </c>
      <c r="AV45" s="178">
        <f>'Interventions cost'!AU44/'National data'!$Q46</f>
        <v>29955863.336759526</v>
      </c>
      <c r="AW45" s="234">
        <f>'Interventions cost'!AV44/'National data'!$Q46</f>
        <v>9520060.0219617374</v>
      </c>
      <c r="AX45" s="234">
        <f>'Interventions cost'!AW44/'National data'!$Q46</f>
        <v>21979675.811926562</v>
      </c>
      <c r="AY45" s="234">
        <f>'Interventions cost'!AX44/'National data'!$Q46</f>
        <v>1360607.7793298878</v>
      </c>
      <c r="AZ45" s="235">
        <f>'Interventions cost'!AY44/'National data'!$Q46</f>
        <v>16386475.58907011</v>
      </c>
      <c r="BA45" s="234">
        <f>'Interventions cost'!AZ44/'National data'!$Q46</f>
        <v>3090999.5113064526</v>
      </c>
      <c r="BB45" s="234">
        <f>'Interventions cost'!BA44/'National data'!$Q46</f>
        <v>7136422.1482439209</v>
      </c>
      <c r="BC45" s="234">
        <f>'Interventions cost'!BB44/'National data'!$Q46</f>
        <v>441765.91022393678</v>
      </c>
      <c r="BD45" s="235">
        <f>'Interventions cost'!BC44/'National data'!$Q46</f>
        <v>5320406.3756956831</v>
      </c>
      <c r="BE45" s="234">
        <f>'Interventions cost'!BD44/'National data'!$Q46</f>
        <v>4940962.7739674551</v>
      </c>
      <c r="BF45" s="234">
        <f>'Interventions cost'!BE44/'National data'!$Q46</f>
        <v>11407570.931283202</v>
      </c>
      <c r="BG45" s="234">
        <f>'Interventions cost'!BF44/'National data'!$Q46</f>
        <v>706162.81537416135</v>
      </c>
      <c r="BH45" s="235">
        <f>'Interventions cost'!BG44/'National data'!$Q46</f>
        <v>8504669.6864667349</v>
      </c>
      <c r="BI45" s="234">
        <f>'Interventions cost'!BH44/'National data'!$Q46</f>
        <v>200430.73364890902</v>
      </c>
      <c r="BJ45" s="234">
        <f>'Interventions cost'!BI44/'National data'!$Q46</f>
        <v>462749.45096846425</v>
      </c>
      <c r="BK45" s="234">
        <f>'Interventions cost'!BJ44/'National data'!$Q46</f>
        <v>28645.577316781157</v>
      </c>
      <c r="BL45" s="234">
        <f>'Interventions cost'!BK44/'National data'!$Q46</f>
        <v>344992.92196274135</v>
      </c>
      <c r="BM45" s="247">
        <f>'Interventions cost'!CF44/'National data'!$Q46</f>
        <v>22277486.133843224</v>
      </c>
      <c r="BN45" s="234">
        <f>'Interventions cost'!CG44/'National data'!$Q46</f>
        <v>51433701.257869169</v>
      </c>
      <c r="BO45" s="234">
        <f>'Interventions cost'!CH44/'National data'!$Q46</f>
        <v>3183900.1926139975</v>
      </c>
      <c r="BP45" s="235">
        <f>'Interventions cost'!CI44/'National data'!$Q46</f>
        <v>38345292.138488688</v>
      </c>
      <c r="BQ45" s="26"/>
      <c r="BR45" s="26"/>
      <c r="BS45" s="26"/>
      <c r="BT45" s="26"/>
      <c r="BU45" s="26"/>
      <c r="BV45" s="26"/>
    </row>
    <row r="46" spans="1:74">
      <c r="A46" s="9">
        <v>44</v>
      </c>
      <c r="B46" s="1" t="s">
        <v>528</v>
      </c>
      <c r="C46" s="1" t="s">
        <v>529</v>
      </c>
      <c r="D46" s="135"/>
      <c r="E46" s="1">
        <f t="shared" si="8"/>
        <v>1.82</v>
      </c>
      <c r="F46" s="1">
        <f t="shared" si="8"/>
        <v>1.78</v>
      </c>
      <c r="G46" s="1">
        <f t="shared" si="8"/>
        <v>0.94</v>
      </c>
      <c r="H46" s="1">
        <f t="shared" si="8"/>
        <v>4.1900000000000004</v>
      </c>
      <c r="I46" s="1">
        <f t="shared" si="8"/>
        <v>8.31</v>
      </c>
      <c r="J46" s="1">
        <f t="shared" si="11"/>
        <v>4.13</v>
      </c>
      <c r="K46" s="180">
        <f t="shared" si="9"/>
        <v>3.5283333333333329</v>
      </c>
      <c r="L46" s="135"/>
      <c r="M46" s="114">
        <f t="shared" si="10"/>
        <v>0.20760000000000001</v>
      </c>
      <c r="N46" s="114">
        <f t="shared" si="10"/>
        <v>0.12889999999999999</v>
      </c>
      <c r="O46" s="114">
        <f t="shared" si="10"/>
        <v>3.61E-2</v>
      </c>
      <c r="P46" s="114">
        <f t="shared" si="10"/>
        <v>0.31319999999999998</v>
      </c>
      <c r="Q46" s="114">
        <f t="shared" si="10"/>
        <v>6.0199999999999997E-2</v>
      </c>
      <c r="R46" s="154">
        <f t="shared" si="10"/>
        <v>0.25390000000000001</v>
      </c>
      <c r="S46" s="185">
        <f t="shared" si="12"/>
        <v>0.377832</v>
      </c>
      <c r="T46" s="140">
        <f t="shared" si="12"/>
        <v>0.22944199999999998</v>
      </c>
      <c r="U46" s="140">
        <f t="shared" si="12"/>
        <v>3.3933999999999999E-2</v>
      </c>
      <c r="V46" s="140">
        <f t="shared" si="12"/>
        <v>1.312308</v>
      </c>
      <c r="W46" s="140">
        <f t="shared" si="12"/>
        <v>0.50026199999999998</v>
      </c>
      <c r="X46" s="186">
        <f t="shared" si="12"/>
        <v>1.0486070000000001</v>
      </c>
      <c r="Y46" s="78">
        <f>'Interventions cost'!D45/'National data'!Q47</f>
        <v>4976421.1993233813</v>
      </c>
      <c r="Z46" s="118">
        <f>'Interventions cost'!E45/'National data'!Q47</f>
        <v>11489436.454433976</v>
      </c>
      <c r="AA46" s="118">
        <f>'Interventions cost'!F45/'National data'!Q47</f>
        <v>711230.53650940268</v>
      </c>
      <c r="AB46" s="178">
        <f>'Interventions cost'!G45/'National data'!$Q47</f>
        <v>8565702.7703108881</v>
      </c>
      <c r="AC46" s="247">
        <f>'Interventions cost'!H45/'National data'!$Q47</f>
        <v>669693.14940261072</v>
      </c>
      <c r="AD46" s="234">
        <f>'Interventions cost'!I45/'National data'!$Q47</f>
        <v>1546170.7471781566</v>
      </c>
      <c r="AE46" s="234">
        <f>'Interventions cost'!J45/'National data'!$Q47</f>
        <v>95712.601258722061</v>
      </c>
      <c r="AF46" s="235">
        <f>'Interventions cost'!K45/'National data'!$Q47</f>
        <v>1152714.4177177192</v>
      </c>
      <c r="AG46" s="247">
        <f>'Interventions cost'!L45/'National data'!$Q47</f>
        <v>590673.30876513419</v>
      </c>
      <c r="AH46" s="234">
        <f>'Interventions cost'!M45/'National data'!$Q47</f>
        <v>1363731.7209624446</v>
      </c>
      <c r="AI46" s="234">
        <f>'Interventions cost'!N45/'National data'!$Q47</f>
        <v>84419.078986306442</v>
      </c>
      <c r="AJ46" s="235">
        <f>'Interventions cost'!O45/'National data'!$Q47</f>
        <v>1016700.9171020585</v>
      </c>
      <c r="AK46" s="247">
        <f>'Interventions cost'!P45/'National data'!$Q47</f>
        <v>3469072.6423322735</v>
      </c>
      <c r="AL46" s="234">
        <f>'Interventions cost'!Q45/'National data'!$Q47</f>
        <v>8009307.9109363304</v>
      </c>
      <c r="AM46" s="234">
        <f>'Interventions cost'!R45/'National data'!$Q47</f>
        <v>495800.15392015874</v>
      </c>
      <c r="AN46" s="235">
        <f>'Interventions cost'!S45/'National data'!$Q47</f>
        <v>5971167.6228040075</v>
      </c>
      <c r="AO46" s="247">
        <f>'Interventions cost'!T45/'National data'!$Q47</f>
        <v>57075.28439539369</v>
      </c>
      <c r="AP46" s="234">
        <f>'Interventions cost'!U45/'National data'!$Q47</f>
        <v>131773.98514192965</v>
      </c>
      <c r="AQ46" s="234">
        <f>'Interventions cost'!V45/'National data'!$Q47</f>
        <v>8157.2044479438173</v>
      </c>
      <c r="AR46" s="235">
        <f>'Interventions cost'!W45/'National data'!$Q47</f>
        <v>98241.266580967334</v>
      </c>
      <c r="AS46" s="118">
        <f>'Interventions cost'!AR45/'National data'!$Q47</f>
        <v>971355.29839267291</v>
      </c>
      <c r="AT46" s="118">
        <f>'Interventions cost'!AS45/'National data'!$Q47</f>
        <v>2242640.7509633186</v>
      </c>
      <c r="AU46" s="118">
        <f>'Interventions cost'!AT45/'National data'!$Q47</f>
        <v>138826.18097338785</v>
      </c>
      <c r="AV46" s="178">
        <f>'Interventions cost'!AU45/'National data'!$Q47</f>
        <v>1671952.6818850359</v>
      </c>
      <c r="AW46" s="234">
        <f>'Interventions cost'!AV45/'National data'!$Q47</f>
        <v>518841.01092494518</v>
      </c>
      <c r="AX46" s="234">
        <f>'Interventions cost'!AW45/'National data'!$Q47</f>
        <v>1197887.1132907628</v>
      </c>
      <c r="AY46" s="234">
        <f>'Interventions cost'!AX45/'National data'!$Q47</f>
        <v>74152.800935218795</v>
      </c>
      <c r="AZ46" s="235">
        <f>'Interventions cost'!AY45/'National data'!$Q47</f>
        <v>893059.02909403353</v>
      </c>
      <c r="BA46" s="234">
        <f>'Interventions cost'!AZ45/'National data'!$Q47</f>
        <v>159651.74412678086</v>
      </c>
      <c r="BB46" s="234">
        <f>'Interventions cost'!BA45/'National data'!$Q47</f>
        <v>368599.9427125667</v>
      </c>
      <c r="BC46" s="234">
        <f>'Interventions cost'!BB45/'National data'!$Q47</f>
        <v>22817.440703248933</v>
      </c>
      <c r="BD46" s="235">
        <f>'Interventions cost'!BC45/'National data'!$Q47</f>
        <v>274801.77665380645</v>
      </c>
      <c r="BE46" s="234">
        <f>'Interventions cost'!BD45/'National data'!$Q47</f>
        <v>438733.20586297993</v>
      </c>
      <c r="BF46" s="234">
        <f>'Interventions cost'!BE45/'National data'!$Q47</f>
        <v>1012936.2220983582</v>
      </c>
      <c r="BG46" s="234">
        <f>'Interventions cost'!BF45/'National data'!$Q47</f>
        <v>62703.786695716968</v>
      </c>
      <c r="BH46" s="235">
        <f>'Interventions cost'!BG45/'National data'!$Q47</f>
        <v>755172.86145289871</v>
      </c>
      <c r="BI46" s="234">
        <f>'Interventions cost'!BH45/'National data'!$Q47</f>
        <v>8655.6073526204873</v>
      </c>
      <c r="BJ46" s="234">
        <f>'Interventions cost'!BI45/'National data'!$Q47</f>
        <v>19983.849169757978</v>
      </c>
      <c r="BK46" s="234">
        <f>'Interventions cost'!BJ45/'National data'!$Q47</f>
        <v>1237.0601310950158</v>
      </c>
      <c r="BL46" s="234">
        <f>'Interventions cost'!BK45/'National data'!$Q47</f>
        <v>14898.529869044283</v>
      </c>
      <c r="BM46" s="247">
        <f>'Interventions cost'!CF45/'National data'!$Q47</f>
        <v>1161099.018051926</v>
      </c>
      <c r="BN46" s="234">
        <f>'Interventions cost'!CG45/'National data'!$Q47</f>
        <v>2680716.2920668991</v>
      </c>
      <c r="BO46" s="234">
        <f>'Interventions cost'!CH45/'National data'!$Q47</f>
        <v>165944.36935159206</v>
      </c>
      <c r="BP46" s="235">
        <f>'Interventions cost'!CI45/'National data'!$Q47</f>
        <v>1998550.4998823027</v>
      </c>
      <c r="BQ46" s="26"/>
      <c r="BR46" s="26"/>
      <c r="BS46" s="26"/>
      <c r="BT46" s="26"/>
      <c r="BU46" s="26"/>
      <c r="BV46" s="26"/>
    </row>
    <row r="47" spans="1:74">
      <c r="A47" s="9">
        <v>45</v>
      </c>
      <c r="B47" s="1" t="s">
        <v>533</v>
      </c>
      <c r="C47" s="1" t="s">
        <v>534</v>
      </c>
      <c r="D47" s="135"/>
      <c r="E47" s="1">
        <f t="shared" si="8"/>
        <v>1.82</v>
      </c>
      <c r="F47" s="1">
        <f t="shared" si="8"/>
        <v>1.78</v>
      </c>
      <c r="G47" s="1">
        <f t="shared" si="8"/>
        <v>0.94</v>
      </c>
      <c r="H47" s="1">
        <f t="shared" si="8"/>
        <v>4.1900000000000004</v>
      </c>
      <c r="I47" s="1">
        <f t="shared" si="8"/>
        <v>8.31</v>
      </c>
      <c r="J47" s="1">
        <f t="shared" si="11"/>
        <v>4.13</v>
      </c>
      <c r="K47" s="180">
        <f t="shared" si="9"/>
        <v>3.5283333333333329</v>
      </c>
      <c r="L47" s="135"/>
      <c r="M47" s="114">
        <f t="shared" si="10"/>
        <v>0.20760000000000001</v>
      </c>
      <c r="N47" s="114">
        <f t="shared" si="10"/>
        <v>0.12889999999999999</v>
      </c>
      <c r="O47" s="114">
        <f t="shared" si="10"/>
        <v>3.61E-2</v>
      </c>
      <c r="P47" s="114">
        <f t="shared" si="10"/>
        <v>0.31319999999999998</v>
      </c>
      <c r="Q47" s="114">
        <f t="shared" ref="O47:R52" si="13">Q$2</f>
        <v>6.0199999999999997E-2</v>
      </c>
      <c r="R47" s="154">
        <f t="shared" si="13"/>
        <v>0.25390000000000001</v>
      </c>
      <c r="S47" s="185">
        <f t="shared" si="12"/>
        <v>0.377832</v>
      </c>
      <c r="T47" s="140">
        <f t="shared" si="12"/>
        <v>0.22944199999999998</v>
      </c>
      <c r="U47" s="140">
        <f t="shared" si="12"/>
        <v>3.3933999999999999E-2</v>
      </c>
      <c r="V47" s="140">
        <f t="shared" si="12"/>
        <v>1.312308</v>
      </c>
      <c r="W47" s="140">
        <f t="shared" si="12"/>
        <v>0.50026199999999998</v>
      </c>
      <c r="X47" s="186">
        <f t="shared" si="12"/>
        <v>1.0486070000000001</v>
      </c>
      <c r="Y47" s="78">
        <f>'Interventions cost'!D46/'National data'!Q48</f>
        <v>1871405.6600107935</v>
      </c>
      <c r="Z47" s="118">
        <f>'Interventions cost'!E46/'National data'!Q48</f>
        <v>4320654.4522568779</v>
      </c>
      <c r="AA47" s="118">
        <f>'Interventions cost'!F46/'National data'!Q48</f>
        <v>267461.45438355947</v>
      </c>
      <c r="AB47" s="178">
        <f>'Interventions cost'!G46/'National data'!$Q48</f>
        <v>3221171.1999999979</v>
      </c>
      <c r="AC47" s="247">
        <f>'Interventions cost'!H46/'National data'!$Q48</f>
        <v>516137.38087635062</v>
      </c>
      <c r="AD47" s="234">
        <f>'Interventions cost'!I46/'National data'!$Q48</f>
        <v>1191645.0400426525</v>
      </c>
      <c r="AE47" s="234">
        <f>'Interventions cost'!J46/'National data'!$Q48</f>
        <v>73766.397901197837</v>
      </c>
      <c r="AF47" s="235">
        <f>'Interventions cost'!K46/'National data'!$Q48</f>
        <v>888405.38534693851</v>
      </c>
      <c r="AG47" s="247">
        <f>'Interventions cost'!L46/'National data'!$Q48</f>
        <v>542997.577491301</v>
      </c>
      <c r="AH47" s="234">
        <f>'Interventions cost'!M46/'National data'!$Q48</f>
        <v>1253659.1883231548</v>
      </c>
      <c r="AI47" s="234">
        <f>'Interventions cost'!N46/'National data'!$Q48</f>
        <v>77605.259461348047</v>
      </c>
      <c r="AJ47" s="235">
        <f>'Interventions cost'!O46/'National data'!$Q48</f>
        <v>934638.70269295736</v>
      </c>
      <c r="AK47" s="247">
        <f>'Interventions cost'!P46/'National data'!$Q48</f>
        <v>986824.80526972457</v>
      </c>
      <c r="AL47" s="234">
        <f>'Interventions cost'!Q46/'National data'!$Q48</f>
        <v>2278356.3604598544</v>
      </c>
      <c r="AM47" s="234">
        <f>'Interventions cost'!R46/'National data'!$Q48</f>
        <v>141037.08419781693</v>
      </c>
      <c r="AN47" s="235">
        <f>'Interventions cost'!S46/'National data'!$Q48</f>
        <v>1698579.6880416137</v>
      </c>
      <c r="AO47" s="247">
        <f>'Interventions cost'!T46/'National data'!$Q48</f>
        <v>6362.7101629861199</v>
      </c>
      <c r="AP47" s="234">
        <f>'Interventions cost'!U46/'National data'!$Q48</f>
        <v>14690.065645076393</v>
      </c>
      <c r="AQ47" s="234">
        <f>'Interventions cost'!V46/'National data'!$Q48</f>
        <v>909.35907183454151</v>
      </c>
      <c r="AR47" s="235">
        <f>'Interventions cost'!W46/'National data'!$Q48</f>
        <v>10951.863173717224</v>
      </c>
      <c r="AS47" s="118">
        <f>'Interventions cost'!AR46/'National data'!$Q48</f>
        <v>484724.85602544964</v>
      </c>
      <c r="AT47" s="118">
        <f>'Interventions cost'!AS46/'National data'!$Q48</f>
        <v>1119120.5905051364</v>
      </c>
      <c r="AU47" s="118">
        <f>'Interventions cost'!AT46/'National data'!$Q48</f>
        <v>69276.917206545448</v>
      </c>
      <c r="AV47" s="178">
        <f>'Interventions cost'!AU46/'National data'!$Q48</f>
        <v>834336.33846352622</v>
      </c>
      <c r="AW47" s="234">
        <f>'Interventions cost'!AV46/'National data'!$Q48</f>
        <v>410673.42091758916</v>
      </c>
      <c r="AX47" s="234">
        <f>'Interventions cost'!AW46/'National data'!$Q48</f>
        <v>948152.4943666734</v>
      </c>
      <c r="AY47" s="234">
        <f>'Interventions cost'!AX46/'National data'!$Q48</f>
        <v>58693.479870450203</v>
      </c>
      <c r="AZ47" s="235">
        <f>'Interventions cost'!AY46/'National data'!$Q48</f>
        <v>706874.74358583766</v>
      </c>
      <c r="BA47" s="234">
        <f>'Interventions cost'!AZ46/'National data'!$Q48</f>
        <v>110205.35954801233</v>
      </c>
      <c r="BB47" s="234">
        <f>'Interventions cost'!BA46/'National data'!$Q48</f>
        <v>254439.37013151031</v>
      </c>
      <c r="BC47" s="234">
        <f>'Interventions cost'!BB46/'National data'!$Q48</f>
        <v>15750.559258971392</v>
      </c>
      <c r="BD47" s="235">
        <f>'Interventions cost'!BC46/'National data'!$Q48</f>
        <v>189691.81180079081</v>
      </c>
      <c r="BE47" s="234">
        <f>'Interventions cost'!BD46/'National data'!$Q48</f>
        <v>81318.369379509691</v>
      </c>
      <c r="BF47" s="234">
        <f>'Interventions cost'!BE46/'National data'!$Q48</f>
        <v>187745.81172733099</v>
      </c>
      <c r="BG47" s="234">
        <f>'Interventions cost'!BF46/'National data'!$Q48</f>
        <v>11622.028193618766</v>
      </c>
      <c r="BH47" s="235">
        <f>'Interventions cost'!BG46/'National data'!$Q48</f>
        <v>139969.86066330891</v>
      </c>
      <c r="BI47" s="234">
        <f>'Interventions cost'!BH46/'National data'!$Q48</f>
        <v>1727.042284965931</v>
      </c>
      <c r="BJ47" s="234">
        <f>'Interventions cost'!BI46/'National data'!$Q48</f>
        <v>3987.3519126424494</v>
      </c>
      <c r="BK47" s="234">
        <f>'Interventions cost'!BJ46/'National data'!$Q48</f>
        <v>246.82902867581879</v>
      </c>
      <c r="BL47" s="234">
        <f>'Interventions cost'!BK46/'National data'!$Q48</f>
        <v>2972.6846446976983</v>
      </c>
      <c r="BM47" s="247">
        <f>'Interventions cost'!CF46/'National data'!$Q48</f>
        <v>335115.28497479012</v>
      </c>
      <c r="BN47" s="234">
        <f>'Interventions cost'!CG46/'National data'!$Q48</f>
        <v>773705.76512914279</v>
      </c>
      <c r="BO47" s="234">
        <f>'Interventions cost'!CH46/'National data'!$Q48</f>
        <v>47894.704724256007</v>
      </c>
      <c r="BP47" s="235">
        <f>'Interventions cost'!CI46/'National data'!$Q48</f>
        <v>576819.72845714272</v>
      </c>
      <c r="BQ47" s="26"/>
      <c r="BR47" s="26"/>
      <c r="BS47" s="26"/>
      <c r="BT47" s="26"/>
      <c r="BU47" s="26"/>
      <c r="BV47" s="26"/>
    </row>
    <row r="48" spans="1:74">
      <c r="A48" s="9">
        <v>46</v>
      </c>
      <c r="B48" s="1" t="s">
        <v>538</v>
      </c>
      <c r="C48" s="1" t="s">
        <v>539</v>
      </c>
      <c r="D48" s="135"/>
      <c r="E48" s="1">
        <f t="shared" si="8"/>
        <v>1.82</v>
      </c>
      <c r="F48" s="1">
        <f t="shared" si="8"/>
        <v>1.78</v>
      </c>
      <c r="G48" s="1">
        <f t="shared" si="8"/>
        <v>0.94</v>
      </c>
      <c r="H48" s="1">
        <f t="shared" si="8"/>
        <v>4.1900000000000004</v>
      </c>
      <c r="I48" s="1">
        <f t="shared" si="8"/>
        <v>8.31</v>
      </c>
      <c r="J48" s="1">
        <f t="shared" si="11"/>
        <v>4.13</v>
      </c>
      <c r="K48" s="180">
        <f t="shared" si="9"/>
        <v>3.5283333333333329</v>
      </c>
      <c r="L48" s="135"/>
      <c r="M48" s="114">
        <f t="shared" si="10"/>
        <v>0.20760000000000001</v>
      </c>
      <c r="N48" s="114">
        <f t="shared" ref="N48:N52" si="14">N$2</f>
        <v>0.12889999999999999</v>
      </c>
      <c r="O48" s="114">
        <f t="shared" si="13"/>
        <v>3.61E-2</v>
      </c>
      <c r="P48" s="114">
        <f t="shared" si="13"/>
        <v>0.31319999999999998</v>
      </c>
      <c r="Q48" s="114">
        <f t="shared" si="13"/>
        <v>6.0199999999999997E-2</v>
      </c>
      <c r="R48" s="154">
        <f t="shared" si="13"/>
        <v>0.25390000000000001</v>
      </c>
      <c r="S48" s="185">
        <f t="shared" si="12"/>
        <v>0.377832</v>
      </c>
      <c r="T48" s="140">
        <f t="shared" si="12"/>
        <v>0.22944199999999998</v>
      </c>
      <c r="U48" s="140">
        <f t="shared" si="12"/>
        <v>3.3933999999999999E-2</v>
      </c>
      <c r="V48" s="140">
        <f t="shared" si="12"/>
        <v>1.312308</v>
      </c>
      <c r="W48" s="140">
        <f t="shared" si="12"/>
        <v>0.50026199999999998</v>
      </c>
      <c r="X48" s="186">
        <f t="shared" si="12"/>
        <v>1.0486070000000001</v>
      </c>
      <c r="Y48" s="78">
        <f>'Interventions cost'!D47/'National data'!Q49</f>
        <v>30681535.173885442</v>
      </c>
      <c r="Z48" s="118">
        <f>'Interventions cost'!E47/'National data'!Q49</f>
        <v>70836758.904725984</v>
      </c>
      <c r="AA48" s="118">
        <f>'Interventions cost'!F47/'National data'!Q49</f>
        <v>4385007.5885099173</v>
      </c>
      <c r="AB48" s="178">
        <f>'Interventions cost'!G47/'National data'!$Q49</f>
        <v>52810825.352177635</v>
      </c>
      <c r="AC48" s="247">
        <f>'Interventions cost'!H47/'National data'!$Q49</f>
        <v>7764604.3175290953</v>
      </c>
      <c r="AD48" s="234">
        <f>'Interventions cost'!I47/'National data'!$Q49</f>
        <v>17926723.709038891</v>
      </c>
      <c r="AE48" s="234">
        <f>'Interventions cost'!J47/'National data'!$Q49</f>
        <v>1109717.9023532611</v>
      </c>
      <c r="AF48" s="235">
        <f>'Interventions cost'!K47/'National data'!$Q49</f>
        <v>13364884.130400734</v>
      </c>
      <c r="AG48" s="247">
        <f>'Interventions cost'!L47/'National data'!$Q49</f>
        <v>6369129.8872080836</v>
      </c>
      <c r="AH48" s="234">
        <f>'Interventions cost'!M47/'National data'!$Q49</f>
        <v>14704887.3433509</v>
      </c>
      <c r="AI48" s="234">
        <f>'Interventions cost'!N47/'National data'!$Q49</f>
        <v>910276.57936048228</v>
      </c>
      <c r="AJ48" s="235">
        <f>'Interventions cost'!O47/'National data'!$Q49</f>
        <v>10962913.172772806</v>
      </c>
      <c r="AK48" s="247">
        <f>'Interventions cost'!P47/'National data'!$Q49</f>
        <v>17917322.091962799</v>
      </c>
      <c r="AL48" s="234">
        <f>'Interventions cost'!Q47/'National data'!$Q49</f>
        <v>41367063.872572184</v>
      </c>
      <c r="AM48" s="234">
        <f>'Interventions cost'!R47/'National data'!$Q49</f>
        <v>2560745.1808964885</v>
      </c>
      <c r="AN48" s="235">
        <f>'Interventions cost'!S47/'National data'!$Q49</f>
        <v>30840326.679049056</v>
      </c>
      <c r="AO48" s="247">
        <f>'Interventions cost'!T47/'National data'!$Q49</f>
        <v>1156958.309593579</v>
      </c>
      <c r="AP48" s="234">
        <f>'Interventions cost'!U47/'National data'!$Q49</f>
        <v>2671156.3282288341</v>
      </c>
      <c r="AQ48" s="234">
        <f>'Interventions cost'!V47/'National data'!$Q49</f>
        <v>165352.57895033751</v>
      </c>
      <c r="AR48" s="235">
        <f>'Interventions cost'!W47/'National data'!$Q49</f>
        <v>1991423.2740121265</v>
      </c>
      <c r="AS48" s="118">
        <f>'Interventions cost'!AR47/'National data'!$Q49</f>
        <v>6947689.6874258313</v>
      </c>
      <c r="AT48" s="118">
        <f>'Interventions cost'!AS47/'National data'!$Q49</f>
        <v>16040651.699590607</v>
      </c>
      <c r="AU48" s="118">
        <f>'Interventions cost'!AT47/'National data'!$Q49</f>
        <v>992964.39468599961</v>
      </c>
      <c r="AV48" s="178">
        <f>'Interventions cost'!AU47/'National data'!$Q49</f>
        <v>11958763.621321952</v>
      </c>
      <c r="AW48" s="234">
        <f>'Interventions cost'!AV47/'National data'!$Q49</f>
        <v>5594243.2553015184</v>
      </c>
      <c r="AX48" s="234">
        <f>'Interventions cost'!AW47/'National data'!$Q49</f>
        <v>12915848.522060739</v>
      </c>
      <c r="AY48" s="234">
        <f>'Interventions cost'!AX47/'National data'!$Q49</f>
        <v>799529.71673161059</v>
      </c>
      <c r="AZ48" s="235">
        <f>'Interventions cost'!AY47/'National data'!$Q49</f>
        <v>9629133.6746665351</v>
      </c>
      <c r="BA48" s="234">
        <f>'Interventions cost'!AZ47/'National data'!$Q49</f>
        <v>1787982.9535184074</v>
      </c>
      <c r="BB48" s="234">
        <f>'Interventions cost'!BA47/'National data'!$Q49</f>
        <v>4128050.1997809247</v>
      </c>
      <c r="BC48" s="234">
        <f>'Interventions cost'!BB47/'National data'!$Q49</f>
        <v>255538.67415271545</v>
      </c>
      <c r="BD48" s="235">
        <f>'Interventions cost'!BC47/'National data'!$Q49</f>
        <v>3077579.2331050299</v>
      </c>
      <c r="BE48" s="234">
        <f>'Interventions cost'!BD47/'National data'!$Q49</f>
        <v>1895628.4577774312</v>
      </c>
      <c r="BF48" s="234">
        <f>'Interventions cost'!BE47/'National data'!$Q49</f>
        <v>4376579.4402233781</v>
      </c>
      <c r="BG48" s="234">
        <f>'Interventions cost'!BF47/'National data'!$Q49</f>
        <v>270923.37867840566</v>
      </c>
      <c r="BH48" s="235">
        <f>'Interventions cost'!BG47/'National data'!$Q49</f>
        <v>3262864.8745552348</v>
      </c>
      <c r="BI48" s="234">
        <f>'Interventions cost'!BH47/'National data'!$Q49</f>
        <v>206876.57308529722</v>
      </c>
      <c r="BJ48" s="234">
        <f>'Interventions cost'!BI47/'National data'!$Q49</f>
        <v>477631.44339505723</v>
      </c>
      <c r="BK48" s="234">
        <f>'Interventions cost'!BJ47/'National data'!$Q49</f>
        <v>29566.817231364596</v>
      </c>
      <c r="BL48" s="234">
        <f>'Interventions cost'!BK47/'National data'!$Q49</f>
        <v>356087.87202941917</v>
      </c>
      <c r="BM48" s="247">
        <f>'Interventions cost'!CF47/'National data'!$Q49</f>
        <v>6186513.1832434507</v>
      </c>
      <c r="BN48" s="234">
        <f>'Interventions cost'!CG47/'National data'!$Q49</f>
        <v>14283266.477334753</v>
      </c>
      <c r="BO48" s="234">
        <f>'Interventions cost'!CH47/'National data'!$Q49</f>
        <v>884176.984665</v>
      </c>
      <c r="BP48" s="235">
        <f>'Interventions cost'!CI47/'National data'!$Q49</f>
        <v>10648582.784648186</v>
      </c>
      <c r="BQ48" s="26"/>
      <c r="BR48" s="26"/>
      <c r="BS48" s="26"/>
      <c r="BT48" s="26"/>
      <c r="BU48" s="26"/>
      <c r="BV48" s="26"/>
    </row>
    <row r="49" spans="1:74">
      <c r="A49" s="9">
        <v>47</v>
      </c>
      <c r="B49" s="1" t="s">
        <v>543</v>
      </c>
      <c r="C49" s="1" t="s">
        <v>544</v>
      </c>
      <c r="D49" s="135"/>
      <c r="E49" s="1">
        <f t="shared" si="8"/>
        <v>1.82</v>
      </c>
      <c r="F49" s="1">
        <f t="shared" si="8"/>
        <v>1.78</v>
      </c>
      <c r="G49" s="1">
        <f t="shared" si="8"/>
        <v>0.94</v>
      </c>
      <c r="H49" s="1">
        <f t="shared" si="8"/>
        <v>4.1900000000000004</v>
      </c>
      <c r="I49" s="1">
        <f t="shared" si="8"/>
        <v>8.31</v>
      </c>
      <c r="J49" s="1">
        <f t="shared" si="11"/>
        <v>4.13</v>
      </c>
      <c r="K49" s="180">
        <f t="shared" si="9"/>
        <v>3.5283333333333329</v>
      </c>
      <c r="L49" s="135"/>
      <c r="M49" s="114">
        <f t="shared" si="10"/>
        <v>0.20760000000000001</v>
      </c>
      <c r="N49" s="114">
        <f t="shared" si="14"/>
        <v>0.12889999999999999</v>
      </c>
      <c r="O49" s="114">
        <f t="shared" si="13"/>
        <v>3.61E-2</v>
      </c>
      <c r="P49" s="114">
        <f t="shared" si="13"/>
        <v>0.31319999999999998</v>
      </c>
      <c r="Q49" s="114">
        <f t="shared" si="13"/>
        <v>6.0199999999999997E-2</v>
      </c>
      <c r="R49" s="154">
        <f t="shared" si="13"/>
        <v>0.25390000000000001</v>
      </c>
      <c r="S49" s="185">
        <f t="shared" si="12"/>
        <v>0.377832</v>
      </c>
      <c r="T49" s="140">
        <f t="shared" si="12"/>
        <v>0.22944199999999998</v>
      </c>
      <c r="U49" s="140">
        <f t="shared" si="12"/>
        <v>3.3933999999999999E-2</v>
      </c>
      <c r="V49" s="140">
        <f t="shared" si="12"/>
        <v>1.312308</v>
      </c>
      <c r="W49" s="140">
        <f t="shared" si="12"/>
        <v>0.50026199999999998</v>
      </c>
      <c r="X49" s="186">
        <f t="shared" si="12"/>
        <v>1.0486070000000001</v>
      </c>
      <c r="Y49" s="78">
        <f>'Interventions cost'!D48/'National data'!Q50</f>
        <v>28373702.786744744</v>
      </c>
      <c r="Z49" s="118">
        <f>'Interventions cost'!E48/'National data'!Q50</f>
        <v>65508493.370622277</v>
      </c>
      <c r="AA49" s="118">
        <f>'Interventions cost'!F48/'National data'!Q50</f>
        <v>4055171.9895652314</v>
      </c>
      <c r="AB49" s="178">
        <f>'Interventions cost'!G48/'National data'!$Q50</f>
        <v>48838451.33475481</v>
      </c>
      <c r="AC49" s="247">
        <f>'Interventions cost'!H48/'National data'!$Q50</f>
        <v>7544736.7587374961</v>
      </c>
      <c r="AD49" s="234">
        <f>'Interventions cost'!I48/'National data'!$Q50</f>
        <v>17419099.003664058</v>
      </c>
      <c r="AE49" s="234">
        <f>'Interventions cost'!J48/'National data'!$Q50</f>
        <v>1078294.4123517268</v>
      </c>
      <c r="AF49" s="235">
        <f>'Interventions cost'!K48/'National data'!$Q50</f>
        <v>12986435.425596816</v>
      </c>
      <c r="AG49" s="247">
        <f>'Interventions cost'!L48/'National data'!$Q50</f>
        <v>3912114.4385092547</v>
      </c>
      <c r="AH49" s="234">
        <f>'Interventions cost'!M48/'National data'!$Q50</f>
        <v>9032191.6982905455</v>
      </c>
      <c r="AI49" s="234">
        <f>'Interventions cost'!N48/'National data'!$Q50</f>
        <v>559119.72470606549</v>
      </c>
      <c r="AJ49" s="235">
        <f>'Interventions cost'!O48/'National data'!$Q50</f>
        <v>6733756.6780456845</v>
      </c>
      <c r="AK49" s="247">
        <f>'Interventions cost'!P48/'National data'!$Q50</f>
        <v>17535911.753038332</v>
      </c>
      <c r="AL49" s="234">
        <f>'Interventions cost'!Q48/'National data'!$Q50</f>
        <v>40486473.247981831</v>
      </c>
      <c r="AM49" s="234">
        <f>'Interventions cost'!R48/'National data'!$Q50</f>
        <v>2506233.983166609</v>
      </c>
      <c r="AN49" s="235">
        <f>'Interventions cost'!S48/'National data'!$Q50</f>
        <v>30183821.237509109</v>
      </c>
      <c r="AO49" s="247">
        <f>'Interventions cost'!T48/'National data'!$Q50</f>
        <v>569272.33062938706</v>
      </c>
      <c r="AP49" s="234">
        <f>'Interventions cost'!U48/'National data'!$Q50</f>
        <v>1314321.6793874204</v>
      </c>
      <c r="AQ49" s="234">
        <f>'Interventions cost'!V48/'National data'!$Q50</f>
        <v>81360.449390527239</v>
      </c>
      <c r="AR49" s="235">
        <f>'Interventions cost'!W48/'National data'!$Q50</f>
        <v>979864.32100973849</v>
      </c>
      <c r="AS49" s="118">
        <f>'Interventions cost'!AR48/'National data'!$Q50</f>
        <v>6120083.4317926439</v>
      </c>
      <c r="AT49" s="118">
        <f>'Interventions cost'!AS48/'National data'!$Q50</f>
        <v>14129895.133268932</v>
      </c>
      <c r="AU49" s="118">
        <f>'Interventions cost'!AT48/'National data'!$Q50</f>
        <v>874682.83899843844</v>
      </c>
      <c r="AV49" s="178">
        <f>'Interventions cost'!AU48/'National data'!$Q50</f>
        <v>10534240.070629004</v>
      </c>
      <c r="AW49" s="234">
        <f>'Interventions cost'!AV48/'National data'!$Q50</f>
        <v>5989420.5992183629</v>
      </c>
      <c r="AX49" s="234">
        <f>'Interventions cost'!AW48/'National data'!$Q50</f>
        <v>13828224.062495688</v>
      </c>
      <c r="AY49" s="234">
        <f>'Interventions cost'!AX48/'National data'!$Q50</f>
        <v>856008.49597331823</v>
      </c>
      <c r="AZ49" s="235">
        <f>'Interventions cost'!AY48/'National data'!$Q50</f>
        <v>10309335.67806867</v>
      </c>
      <c r="BA49" s="234">
        <f>'Interventions cost'!AZ48/'National data'!$Q50</f>
        <v>962847.82081481523</v>
      </c>
      <c r="BB49" s="234">
        <f>'Interventions cost'!BA48/'National data'!$Q50</f>
        <v>2222998.9001023811</v>
      </c>
      <c r="BC49" s="234">
        <f>'Interventions cost'!BB48/'National data'!$Q50</f>
        <v>137610.29156216516</v>
      </c>
      <c r="BD49" s="235">
        <f>'Interventions cost'!BC48/'National data'!$Q50</f>
        <v>1657309.121515403</v>
      </c>
      <c r="BE49" s="234">
        <f>'Interventions cost'!BD48/'National data'!$Q50</f>
        <v>1302867.2379360157</v>
      </c>
      <c r="BF49" s="234">
        <f>'Interventions cost'!BE48/'National data'!$Q50</f>
        <v>3008027.2025336293</v>
      </c>
      <c r="BG49" s="234">
        <f>'Interventions cost'!BF48/'National data'!$Q50</f>
        <v>186205.89526540603</v>
      </c>
      <c r="BH49" s="235">
        <f>'Interventions cost'!BG48/'National data'!$Q50</f>
        <v>2242570.124661712</v>
      </c>
      <c r="BI49" s="234">
        <f>'Interventions cost'!BH48/'National data'!$Q50</f>
        <v>99622.819019087547</v>
      </c>
      <c r="BJ49" s="234">
        <f>'Interventions cost'!BI48/'National data'!$Q50</f>
        <v>230006.66597252851</v>
      </c>
      <c r="BK49" s="234">
        <f>'Interventions cost'!BJ48/'National data'!$Q50</f>
        <v>14238.101676192224</v>
      </c>
      <c r="BL49" s="234">
        <f>'Interventions cost'!BK48/'National data'!$Q50</f>
        <v>171476.5335727616</v>
      </c>
      <c r="BM49" s="247">
        <f>'Interventions cost'!CF48/'National data'!$Q50</f>
        <v>5308214.8573937062</v>
      </c>
      <c r="BN49" s="234">
        <f>'Interventions cost'!CG48/'National data'!$Q50</f>
        <v>12255473.330673771</v>
      </c>
      <c r="BO49" s="234">
        <f>'Interventions cost'!CH48/'National data'!$Q50</f>
        <v>758650.51403700013</v>
      </c>
      <c r="BP49" s="235">
        <f>'Interventions cost'!CI48/'National data'!$Q50</f>
        <v>9136805.1232409365</v>
      </c>
      <c r="BQ49" s="26"/>
      <c r="BR49" s="26"/>
      <c r="BS49" s="26"/>
      <c r="BT49" s="26"/>
      <c r="BU49" s="26"/>
      <c r="BV49" s="26"/>
    </row>
    <row r="50" spans="1:74">
      <c r="A50" s="9">
        <v>48</v>
      </c>
      <c r="B50" s="1" t="s">
        <v>548</v>
      </c>
      <c r="C50" s="1" t="s">
        <v>549</v>
      </c>
      <c r="D50" s="135"/>
      <c r="E50" s="1">
        <f t="shared" si="8"/>
        <v>1.82</v>
      </c>
      <c r="F50" s="1">
        <f t="shared" si="8"/>
        <v>1.78</v>
      </c>
      <c r="G50" s="1">
        <f t="shared" si="8"/>
        <v>0.94</v>
      </c>
      <c r="H50" s="1">
        <f t="shared" si="8"/>
        <v>4.1900000000000004</v>
      </c>
      <c r="I50" s="1">
        <f t="shared" si="8"/>
        <v>8.31</v>
      </c>
      <c r="J50" s="1">
        <f t="shared" si="11"/>
        <v>4.13</v>
      </c>
      <c r="K50" s="180">
        <f t="shared" si="9"/>
        <v>3.5283333333333329</v>
      </c>
      <c r="L50" s="135"/>
      <c r="M50" s="114">
        <f t="shared" si="10"/>
        <v>0.20760000000000001</v>
      </c>
      <c r="N50" s="114">
        <f t="shared" si="14"/>
        <v>0.12889999999999999</v>
      </c>
      <c r="O50" s="114">
        <f t="shared" si="13"/>
        <v>3.61E-2</v>
      </c>
      <c r="P50" s="114">
        <f t="shared" si="13"/>
        <v>0.31319999999999998</v>
      </c>
      <c r="Q50" s="114">
        <f t="shared" si="13"/>
        <v>6.0199999999999997E-2</v>
      </c>
      <c r="R50" s="154">
        <f t="shared" si="13"/>
        <v>0.25390000000000001</v>
      </c>
      <c r="S50" s="185">
        <f t="shared" si="12"/>
        <v>0.377832</v>
      </c>
      <c r="T50" s="140">
        <f t="shared" si="12"/>
        <v>0.22944199999999998</v>
      </c>
      <c r="U50" s="140">
        <f t="shared" si="12"/>
        <v>3.3933999999999999E-2</v>
      </c>
      <c r="V50" s="140">
        <f t="shared" si="12"/>
        <v>1.312308</v>
      </c>
      <c r="W50" s="140">
        <f t="shared" si="12"/>
        <v>0.50026199999999998</v>
      </c>
      <c r="X50" s="186">
        <f t="shared" si="12"/>
        <v>1.0486070000000001</v>
      </c>
      <c r="Y50" s="78">
        <f>'Interventions cost'!D49/'National data'!Q51</f>
        <v>3163785.744331229</v>
      </c>
      <c r="Z50" s="118">
        <f>'Interventions cost'!E49/'National data'!Q51</f>
        <v>7304469.1775447158</v>
      </c>
      <c r="AA50" s="118">
        <f>'Interventions cost'!F49/'National data'!Q51</f>
        <v>452168.52477186726</v>
      </c>
      <c r="AB50" s="178">
        <f>'Interventions cost'!G49/'National data'!$Q51</f>
        <v>5445690.231882452</v>
      </c>
      <c r="AC50" s="247">
        <f>'Interventions cost'!H49/'National data'!$Q51</f>
        <v>731390.10666141822</v>
      </c>
      <c r="AD50" s="234">
        <f>'Interventions cost'!I49/'National data'!$Q51</f>
        <v>1688615.1347137976</v>
      </c>
      <c r="AE50" s="234">
        <f>'Interventions cost'!J49/'National data'!$Q51</f>
        <v>104530.33558115955</v>
      </c>
      <c r="AF50" s="235">
        <f>'Interventions cost'!K49/'National data'!$Q51</f>
        <v>1258910.7738025642</v>
      </c>
      <c r="AG50" s="247">
        <f>'Interventions cost'!L49/'National data'!$Q51</f>
        <v>706558.55313425104</v>
      </c>
      <c r="AH50" s="234">
        <f>'Interventions cost'!M49/'National data'!$Q51</f>
        <v>1631284.6667152175</v>
      </c>
      <c r="AI50" s="234">
        <f>'Interventions cost'!N49/'National data'!$Q51</f>
        <v>100981.40786179961</v>
      </c>
      <c r="AJ50" s="235">
        <f>'Interventions cost'!O49/'National data'!$Q51</f>
        <v>1216169.2737728443</v>
      </c>
      <c r="AK50" s="247">
        <f>'Interventions cost'!P49/'National data'!$Q51</f>
        <v>1335196.8264599815</v>
      </c>
      <c r="AL50" s="234">
        <f>'Interventions cost'!Q49/'National data'!$Q51</f>
        <v>3082668.9456792069</v>
      </c>
      <c r="AM50" s="234">
        <f>'Interventions cost'!R49/'National data'!$Q51</f>
        <v>190826.44277737199</v>
      </c>
      <c r="AN50" s="235">
        <f>'Interventions cost'!S49/'National data'!$Q51</f>
        <v>2298217.6743547316</v>
      </c>
      <c r="AO50" s="247">
        <f>'Interventions cost'!T49/'National data'!$Q51</f>
        <v>34252.939741330127</v>
      </c>
      <c r="AP50" s="234">
        <f>'Interventions cost'!U49/'National data'!$Q51</f>
        <v>79082.328197837662</v>
      </c>
      <c r="AQ50" s="234">
        <f>'Interventions cost'!V49/'National data'!$Q51</f>
        <v>4895.433029777063</v>
      </c>
      <c r="AR50" s="235">
        <f>'Interventions cost'!W49/'National data'!$Q51</f>
        <v>58958.132577985067</v>
      </c>
      <c r="AS50" s="118">
        <f>'Interventions cost'!AR49/'National data'!$Q51</f>
        <v>1168725.5411963838</v>
      </c>
      <c r="AT50" s="118">
        <f>'Interventions cost'!AS49/'National data'!$Q51</f>
        <v>2698324.2174266805</v>
      </c>
      <c r="AU50" s="118">
        <f>'Interventions cost'!AT49/'National data'!$Q51</f>
        <v>167034.35268107214</v>
      </c>
      <c r="AV50" s="178">
        <f>'Interventions cost'!AU49/'National data'!$Q51</f>
        <v>2011677.7107452422</v>
      </c>
      <c r="AW50" s="234">
        <f>'Interventions cost'!AV49/'National data'!$Q51</f>
        <v>777340.70328822418</v>
      </c>
      <c r="AX50" s="234">
        <f>'Interventions cost'!AW49/'National data'!$Q51</f>
        <v>1794704.7197470739</v>
      </c>
      <c r="AY50" s="234">
        <f>'Interventions cost'!AX49/'National data'!$Q51</f>
        <v>111097.59871721685</v>
      </c>
      <c r="AZ50" s="235">
        <f>'Interventions cost'!AY49/'National data'!$Q51</f>
        <v>1338003.5871032528</v>
      </c>
      <c r="BA50" s="234">
        <f>'Interventions cost'!AZ49/'National data'!$Q51</f>
        <v>212760.6541834914</v>
      </c>
      <c r="BB50" s="234">
        <f>'Interventions cost'!BA49/'National data'!$Q51</f>
        <v>491216.46225954359</v>
      </c>
      <c r="BC50" s="234">
        <f>'Interventions cost'!BB49/'National data'!$Q51</f>
        <v>30407.770596988557</v>
      </c>
      <c r="BD50" s="235">
        <f>'Interventions cost'!BC49/'National data'!$Q51</f>
        <v>366215.89129161282</v>
      </c>
      <c r="BE50" s="234">
        <f>'Interventions cost'!BD49/'National data'!$Q51</f>
        <v>153632.43165664791</v>
      </c>
      <c r="BF50" s="234">
        <f>'Interventions cost'!BE49/'National data'!$Q51</f>
        <v>354702.70504820312</v>
      </c>
      <c r="BG50" s="234">
        <f>'Interventions cost'!BF49/'National data'!$Q51</f>
        <v>21957.160058569487</v>
      </c>
      <c r="BH50" s="235">
        <f>'Interventions cost'!BG49/'National data'!$Q51</f>
        <v>264440.98936598707</v>
      </c>
      <c r="BI50" s="234">
        <f>'Interventions cost'!BH49/'National data'!$Q51</f>
        <v>8270.5782242305013</v>
      </c>
      <c r="BJ50" s="234">
        <f>'Interventions cost'!BI49/'National data'!$Q51</f>
        <v>19094.903574810287</v>
      </c>
      <c r="BK50" s="234">
        <f>'Interventions cost'!BJ49/'National data'!$Q51</f>
        <v>1182.0317356702494</v>
      </c>
      <c r="BL50" s="234">
        <f>'Interventions cost'!BK49/'National data'!$Q51</f>
        <v>14235.795558662981</v>
      </c>
      <c r="BM50" s="247">
        <f>'Interventions cost'!CF49/'National data'!$Q51</f>
        <v>681019.89943760238</v>
      </c>
      <c r="BN50" s="234">
        <f>'Interventions cost'!CG49/'National data'!$Q51</f>
        <v>1572321.663579684</v>
      </c>
      <c r="BO50" s="234">
        <f>'Interventions cost'!CH49/'National data'!$Q51</f>
        <v>97331.421326723997</v>
      </c>
      <c r="BP50" s="235">
        <f>'Interventions cost'!CI49/'National data'!$Q51</f>
        <v>1172210.6722081017</v>
      </c>
      <c r="BQ50" s="26"/>
      <c r="BR50" s="26"/>
      <c r="BS50" s="26"/>
      <c r="BT50" s="26"/>
      <c r="BU50" s="26"/>
      <c r="BV50" s="26"/>
    </row>
    <row r="51" spans="1:74">
      <c r="A51" s="9">
        <v>49</v>
      </c>
      <c r="B51" s="1" t="s">
        <v>553</v>
      </c>
      <c r="C51" s="1" t="s">
        <v>554</v>
      </c>
      <c r="D51" s="135"/>
      <c r="E51" s="1">
        <f t="shared" si="8"/>
        <v>1.82</v>
      </c>
      <c r="F51" s="1">
        <f t="shared" si="8"/>
        <v>1.78</v>
      </c>
      <c r="G51" s="1">
        <f t="shared" si="8"/>
        <v>0.94</v>
      </c>
      <c r="H51" s="1">
        <f t="shared" si="8"/>
        <v>4.1900000000000004</v>
      </c>
      <c r="I51" s="1">
        <f t="shared" si="8"/>
        <v>8.31</v>
      </c>
      <c r="J51" s="1">
        <f t="shared" si="11"/>
        <v>4.13</v>
      </c>
      <c r="K51" s="180">
        <f t="shared" si="9"/>
        <v>3.5283333333333329</v>
      </c>
      <c r="L51" s="135"/>
      <c r="M51" s="114">
        <f t="shared" si="10"/>
        <v>0.20760000000000001</v>
      </c>
      <c r="N51" s="114">
        <f t="shared" si="14"/>
        <v>0.12889999999999999</v>
      </c>
      <c r="O51" s="114">
        <f t="shared" si="13"/>
        <v>3.61E-2</v>
      </c>
      <c r="P51" s="114">
        <f t="shared" si="13"/>
        <v>0.31319999999999998</v>
      </c>
      <c r="Q51" s="114">
        <f t="shared" si="13"/>
        <v>6.0199999999999997E-2</v>
      </c>
      <c r="R51" s="154">
        <f t="shared" si="13"/>
        <v>0.25390000000000001</v>
      </c>
      <c r="S51" s="185">
        <f t="shared" si="12"/>
        <v>0.377832</v>
      </c>
      <c r="T51" s="140">
        <f t="shared" si="12"/>
        <v>0.22944199999999998</v>
      </c>
      <c r="U51" s="140">
        <f t="shared" si="12"/>
        <v>3.3933999999999999E-2</v>
      </c>
      <c r="V51" s="140">
        <f t="shared" si="12"/>
        <v>1.312308</v>
      </c>
      <c r="W51" s="140">
        <f t="shared" si="12"/>
        <v>0.50026199999999998</v>
      </c>
      <c r="X51" s="186">
        <f t="shared" si="12"/>
        <v>1.0486070000000001</v>
      </c>
      <c r="Y51" s="78">
        <f>'Interventions cost'!D50/'National data'!Q52</f>
        <v>21796048.370528575</v>
      </c>
      <c r="Z51" s="118">
        <f>'Interventions cost'!E50/'National data'!Q52</f>
        <v>50322169.824573152</v>
      </c>
      <c r="AA51" s="118">
        <f>'Interventions cost'!F50/'National data'!Q52</f>
        <v>3115093.0669742459</v>
      </c>
      <c r="AB51" s="178">
        <f>'Interventions cost'!G50/'National data'!$Q52</f>
        <v>37516613.733309217</v>
      </c>
      <c r="AC51" s="247">
        <f>'Interventions cost'!H50/'National data'!$Q52</f>
        <v>5826750.067779935</v>
      </c>
      <c r="AD51" s="234">
        <f>'Interventions cost'!I50/'National data'!$Q52</f>
        <v>13452654.419350341</v>
      </c>
      <c r="AE51" s="234">
        <f>'Interventions cost'!J50/'National data'!$Q52</f>
        <v>832759.60993349645</v>
      </c>
      <c r="AF51" s="235">
        <f>'Interventions cost'!K50/'National data'!$Q52</f>
        <v>10029337.790836066</v>
      </c>
      <c r="AG51" s="247">
        <f>'Interventions cost'!L50/'National data'!$Q52</f>
        <v>5002291.7192223789</v>
      </c>
      <c r="AH51" s="234">
        <f>'Interventions cost'!M50/'National data'!$Q52</f>
        <v>11549165.661934158</v>
      </c>
      <c r="AI51" s="234">
        <f>'Interventions cost'!N50/'National data'!$Q52</f>
        <v>714927.95339004032</v>
      </c>
      <c r="AJ51" s="235">
        <f>'Interventions cost'!O50/'National data'!$Q52</f>
        <v>8610232.599095948</v>
      </c>
      <c r="AK51" s="247">
        <f>'Interventions cost'!P50/'National data'!$Q52</f>
        <v>16539216.840398578</v>
      </c>
      <c r="AL51" s="234">
        <f>'Interventions cost'!Q50/'National data'!$Q52</f>
        <v>38185329.031172171</v>
      </c>
      <c r="AM51" s="234">
        <f>'Interventions cost'!R50/'National data'!$Q52</f>
        <v>2363786.2623930248</v>
      </c>
      <c r="AN51" s="235">
        <f>'Interventions cost'!S50/'National data'!$Q52</f>
        <v>28468252.552223016</v>
      </c>
      <c r="AO51" s="247">
        <f>'Interventions cost'!T50/'National data'!$Q52</f>
        <v>257558.01252303453</v>
      </c>
      <c r="AP51" s="234">
        <f>'Interventions cost'!U50/'National data'!$Q52</f>
        <v>594643.47965884837</v>
      </c>
      <c r="AQ51" s="234">
        <f>'Interventions cost'!V50/'National data'!$Q52</f>
        <v>36810.212819999993</v>
      </c>
      <c r="AR51" s="235">
        <f>'Interventions cost'!W50/'National data'!$Q52</f>
        <v>443323.68443496787</v>
      </c>
      <c r="AS51" s="118">
        <f>'Interventions cost'!AR50/'National data'!$Q52</f>
        <v>4953996.8283278644</v>
      </c>
      <c r="AT51" s="118">
        <f>'Interventions cost'!AS50/'National data'!$Q52</f>
        <v>11437663.629091399</v>
      </c>
      <c r="AU51" s="118">
        <f>'Interventions cost'!AT50/'National data'!$Q52</f>
        <v>708025.64351999958</v>
      </c>
      <c r="AV51" s="178">
        <f>'Interventions cost'!AU50/'National data'!$Q52</f>
        <v>8527104.6514890902</v>
      </c>
      <c r="AW51" s="234">
        <f>'Interventions cost'!AV50/'National data'!$Q52</f>
        <v>3299415.5822624126</v>
      </c>
      <c r="AX51" s="234">
        <f>'Interventions cost'!AW50/'National data'!$Q52</f>
        <v>7617607.9457115624</v>
      </c>
      <c r="AY51" s="234">
        <f>'Interventions cost'!AX50/'National data'!$Q52</f>
        <v>471552.75262050569</v>
      </c>
      <c r="AZ51" s="235">
        <f>'Interventions cost'!AY50/'National data'!$Q52</f>
        <v>5679144.1201228434</v>
      </c>
      <c r="BA51" s="234">
        <f>'Interventions cost'!AZ50/'National data'!$Q52</f>
        <v>1647036.1545638058</v>
      </c>
      <c r="BB51" s="234">
        <f>'Interventions cost'!BA50/'National data'!$Q52</f>
        <v>3802635.765354644</v>
      </c>
      <c r="BC51" s="234">
        <f>'Interventions cost'!BB50/'National data'!$Q52</f>
        <v>235394.54578725595</v>
      </c>
      <c r="BD51" s="235">
        <f>'Interventions cost'!BC50/'National data'!$Q52</f>
        <v>2834973.485336727</v>
      </c>
      <c r="BE51" s="234">
        <f>'Interventions cost'!BD50/'National data'!$Q52</f>
        <v>1471519.6562076046</v>
      </c>
      <c r="BF51" s="234">
        <f>'Interventions cost'!BE50/'National data'!$Q52</f>
        <v>3397407.6759713488</v>
      </c>
      <c r="BG51" s="234">
        <f>'Interventions cost'!BF50/'National data'!$Q52</f>
        <v>210309.71307472241</v>
      </c>
      <c r="BH51" s="235">
        <f>'Interventions cost'!BG50/'National data'!$Q52</f>
        <v>2532864.3800203619</v>
      </c>
      <c r="BI51" s="234">
        <f>'Interventions cost'!BH50/'National data'!$Q52</f>
        <v>44672.778823393965</v>
      </c>
      <c r="BJ51" s="234">
        <f>'Interventions cost'!BI50/'National data'!$Q52</f>
        <v>103139.39133692194</v>
      </c>
      <c r="BK51" s="234">
        <f>'Interventions cost'!BJ50/'National data'!$Q52</f>
        <v>6384.6373080816247</v>
      </c>
      <c r="BL51" s="234">
        <f>'Interventions cost'!BK50/'National data'!$Q52</f>
        <v>76893.359705375944</v>
      </c>
      <c r="BM51" s="247">
        <f>'Interventions cost'!CF50/'National data'!$Q52</f>
        <v>4478289.9427442634</v>
      </c>
      <c r="BN51" s="234">
        <f>'Interventions cost'!CG50/'National data'!$Q52</f>
        <v>10339363.502568228</v>
      </c>
      <c r="BO51" s="234">
        <f>'Interventions cost'!CH50/'National data'!$Q52</f>
        <v>640037.57540774997</v>
      </c>
      <c r="BP51" s="235">
        <f>'Interventions cost'!CI50/'National data'!$Q52</f>
        <v>7708290.5631130049</v>
      </c>
      <c r="BQ51" s="26"/>
      <c r="BR51" s="26"/>
      <c r="BS51" s="26"/>
      <c r="BT51" s="26"/>
      <c r="BU51" s="26"/>
      <c r="BV51" s="26"/>
    </row>
    <row r="52" spans="1:74">
      <c r="A52" s="13">
        <v>50</v>
      </c>
      <c r="B52" s="14" t="s">
        <v>558</v>
      </c>
      <c r="C52" s="14" t="s">
        <v>559</v>
      </c>
      <c r="D52" s="138"/>
      <c r="E52" s="14">
        <f t="shared" si="8"/>
        <v>1.82</v>
      </c>
      <c r="F52" s="14">
        <f t="shared" si="8"/>
        <v>1.78</v>
      </c>
      <c r="G52" s="14">
        <f t="shared" si="8"/>
        <v>0.94</v>
      </c>
      <c r="H52" s="14">
        <f t="shared" si="8"/>
        <v>4.1900000000000004</v>
      </c>
      <c r="I52" s="14">
        <f t="shared" si="8"/>
        <v>8.31</v>
      </c>
      <c r="J52" s="14">
        <f t="shared" si="11"/>
        <v>4.13</v>
      </c>
      <c r="K52" s="181">
        <f t="shared" si="9"/>
        <v>3.5283333333333329</v>
      </c>
      <c r="L52" s="138"/>
      <c r="M52" s="182">
        <f t="shared" si="10"/>
        <v>0.20760000000000001</v>
      </c>
      <c r="N52" s="182">
        <f t="shared" si="14"/>
        <v>0.12889999999999999</v>
      </c>
      <c r="O52" s="182">
        <f t="shared" si="13"/>
        <v>3.61E-2</v>
      </c>
      <c r="P52" s="182">
        <f t="shared" si="13"/>
        <v>0.31319999999999998</v>
      </c>
      <c r="Q52" s="182">
        <f t="shared" si="13"/>
        <v>6.0199999999999997E-2</v>
      </c>
      <c r="R52" s="183">
        <f t="shared" si="13"/>
        <v>0.25390000000000001</v>
      </c>
      <c r="S52" s="187">
        <f t="shared" si="12"/>
        <v>0.377832</v>
      </c>
      <c r="T52" s="141">
        <f t="shared" si="12"/>
        <v>0.22944199999999998</v>
      </c>
      <c r="U52" s="141">
        <f t="shared" si="12"/>
        <v>3.3933999999999999E-2</v>
      </c>
      <c r="V52" s="141">
        <f t="shared" si="12"/>
        <v>1.312308</v>
      </c>
      <c r="W52" s="141">
        <f t="shared" si="12"/>
        <v>0.50026199999999998</v>
      </c>
      <c r="X52" s="188">
        <f t="shared" si="12"/>
        <v>1.0486070000000001</v>
      </c>
      <c r="Y52" s="289">
        <f>'Interventions cost'!D51/'National data'!Q53</f>
        <v>1733872.7179674464</v>
      </c>
      <c r="Z52" s="249">
        <f>'Interventions cost'!E51/'National data'!Q53</f>
        <v>4003121.8450464532</v>
      </c>
      <c r="AA52" s="249">
        <f>'Interventions cost'!F51/'National data'!Q53</f>
        <v>247805.23473508892</v>
      </c>
      <c r="AB52" s="244">
        <f>'Interventions cost'!G51/'National data'!$Q53</f>
        <v>2984441.5793581842</v>
      </c>
      <c r="AC52" s="289">
        <f>'Interventions cost'!H51/'National data'!$Q53</f>
        <v>369108.21094350907</v>
      </c>
      <c r="AD52" s="249">
        <f>'Interventions cost'!I51/'National data'!$Q53</f>
        <v>852187.7800500216</v>
      </c>
      <c r="AE52" s="249">
        <f>'Interventions cost'!J51/'National data'!$Q53</f>
        <v>52752.976563774653</v>
      </c>
      <c r="AF52" s="244">
        <f>'Interventions cost'!K51/'National data'!$Q53</f>
        <v>635330.31035499705</v>
      </c>
      <c r="AG52" s="289">
        <f>'Interventions cost'!L51/'National data'!$Q53</f>
        <v>413815.881185501</v>
      </c>
      <c r="AH52" s="249">
        <f>'Interventions cost'!M51/'National data'!$Q53</f>
        <v>955407.72781911248</v>
      </c>
      <c r="AI52" s="249">
        <f>'Interventions cost'!N51/'National data'!$Q53</f>
        <v>59142.60055633798</v>
      </c>
      <c r="AJ52" s="244">
        <f>'Interventions cost'!O51/'National data'!$Q53</f>
        <v>712283.72717953043</v>
      </c>
      <c r="AK52" s="289">
        <f>'Interventions cost'!P51/'National data'!$Q53</f>
        <v>1012813.952612576</v>
      </c>
      <c r="AL52" s="249">
        <f>'Interventions cost'!Q51/'National data'!$Q53</f>
        <v>2338359.4520271858</v>
      </c>
      <c r="AM52" s="249">
        <f>'Interventions cost'!R51/'National data'!$Q53</f>
        <v>144751.45532271112</v>
      </c>
      <c r="AN52" s="244">
        <f>'Interventions cost'!S51/'National data'!$Q53</f>
        <v>1743313.7052150283</v>
      </c>
      <c r="AO52" s="289">
        <f>'Interventions cost'!T51/'National data'!$Q53</f>
        <v>28026.361126274907</v>
      </c>
      <c r="AP52" s="249">
        <f>'Interventions cost'!U51/'National data'!$Q53</f>
        <v>64706.559656392383</v>
      </c>
      <c r="AQ52" s="249">
        <f>'Interventions cost'!V51/'National data'!$Q53</f>
        <v>4005.5298902265308</v>
      </c>
      <c r="AR52" s="244">
        <f>'Interventions cost'!W51/'National data'!$Q53</f>
        <v>48240.586864654215</v>
      </c>
      <c r="AS52" s="249">
        <f>'Interventions cost'!AR51/'National data'!$Q53</f>
        <v>466340.02521423745</v>
      </c>
      <c r="AT52" s="249">
        <f>'Interventions cost'!AS51/'National data'!$Q53</f>
        <v>1076674.15422686</v>
      </c>
      <c r="AU52" s="249">
        <f>'Interventions cost'!AT51/'National data'!$Q53</f>
        <v>66649.355640158945</v>
      </c>
      <c r="AV52" s="179">
        <f>'Interventions cost'!AU51/'National data'!$Q53</f>
        <v>802691.30885214417</v>
      </c>
      <c r="AW52" s="249">
        <f>'Interventions cost'!AV51/'National data'!$Q53</f>
        <v>303778.44408200961</v>
      </c>
      <c r="AX52" s="249">
        <f>'Interventions cost'!AW51/'National data'!$Q53</f>
        <v>701356.05281595199</v>
      </c>
      <c r="AY52" s="249">
        <f>'Interventions cost'!AX51/'National data'!$Q53</f>
        <v>43416.040787266022</v>
      </c>
      <c r="AZ52" s="244">
        <f>'Interventions cost'!AY51/'National data'!$Q53</f>
        <v>522880.95316123782</v>
      </c>
      <c r="BA52" s="249">
        <f>'Interventions cost'!AZ51/'National data'!$Q53</f>
        <v>127129.15190412421</v>
      </c>
      <c r="BB52" s="249">
        <f>'Interventions cost'!BA51/'National data'!$Q53</f>
        <v>293512.59746805893</v>
      </c>
      <c r="BC52" s="249">
        <f>'Interventions cost'!BB51/'National data'!$Q53</f>
        <v>18169.309086427264</v>
      </c>
      <c r="BD52" s="244">
        <f>'Interventions cost'!BC51/'National data'!$Q53</f>
        <v>218822.01787913151</v>
      </c>
      <c r="BE52" s="249">
        <f>'Interventions cost'!BD51/'National data'!$Q53</f>
        <v>111087.86989770264</v>
      </c>
      <c r="BF52" s="249">
        <f>'Interventions cost'!BE51/'National data'!$Q53</f>
        <v>256476.88789317515</v>
      </c>
      <c r="BG52" s="249">
        <f>'Interventions cost'!BF51/'National data'!$Q53</f>
        <v>15876.687712401075</v>
      </c>
      <c r="BH52" s="244">
        <f>'Interventions cost'!BG51/'National data'!$Q53</f>
        <v>191210.83944021128</v>
      </c>
      <c r="BI52" s="249">
        <f>'Interventions cost'!BH51/'National data'!$Q53</f>
        <v>7654.1148241649289</v>
      </c>
      <c r="BJ52" s="249">
        <f>'Interventions cost'!BI51/'National data'!$Q53</f>
        <v>17671.628337878828</v>
      </c>
      <c r="BK52" s="249">
        <f>'Interventions cost'!BJ51/'National data'!$Q53</f>
        <v>1093.9267346653785</v>
      </c>
      <c r="BL52" s="249">
        <f>'Interventions cost'!BK51/'National data'!$Q53</f>
        <v>13174.703251111745</v>
      </c>
      <c r="BM52" s="289">
        <f>'Interventions cost'!CF51/'National data'!$Q53</f>
        <v>432381.89778903825</v>
      </c>
      <c r="BN52" s="249">
        <f>'Interventions cost'!CG51/'National data'!$Q53</f>
        <v>998272.48131049878</v>
      </c>
      <c r="BO52" s="249">
        <f>'Interventions cost'!CH51/'National data'!$Q53</f>
        <v>61796.057211407991</v>
      </c>
      <c r="BP52" s="244">
        <f>'Interventions cost'!CI51/'National data'!$Q53</f>
        <v>744240.62421151367</v>
      </c>
      <c r="BQ52" s="26"/>
      <c r="BR52" s="26"/>
      <c r="BS52" s="26"/>
      <c r="BT52" s="26"/>
      <c r="BU52" s="26"/>
      <c r="BV52" s="26"/>
    </row>
    <row r="53" spans="1:74" s="26" customFormat="1">
      <c r="A53" s="4"/>
      <c r="B53" s="4"/>
      <c r="C53" s="4"/>
      <c r="D53" s="4"/>
      <c r="E53" s="4"/>
      <c r="F53" s="4"/>
      <c r="G53" s="4"/>
      <c r="H53" s="4"/>
      <c r="I53" s="4"/>
      <c r="J53" s="4"/>
      <c r="K53" s="4"/>
      <c r="L53" s="4"/>
      <c r="M53" s="4"/>
      <c r="N53" s="4"/>
      <c r="O53" s="4"/>
      <c r="P53" s="4"/>
      <c r="Q53" s="4"/>
      <c r="R53" s="4"/>
    </row>
    <row r="54" spans="1:74" s="26" customFormat="1">
      <c r="A54" s="4"/>
      <c r="B54" s="4"/>
      <c r="C54" s="4"/>
      <c r="D54" s="4"/>
      <c r="E54" s="4"/>
      <c r="F54" s="4"/>
      <c r="G54" s="4"/>
      <c r="H54" s="4"/>
      <c r="I54" s="4"/>
      <c r="J54" s="4"/>
      <c r="K54" s="4"/>
      <c r="L54" s="4"/>
      <c r="M54" s="4"/>
      <c r="N54" s="4"/>
      <c r="O54" s="4"/>
      <c r="P54" s="4"/>
      <c r="Q54" s="4"/>
      <c r="R54" s="4"/>
    </row>
    <row r="55" spans="1:74" s="26" customFormat="1">
      <c r="A55" s="4"/>
      <c r="B55" s="4"/>
      <c r="C55" s="4"/>
      <c r="D55" s="4"/>
      <c r="E55" s="4"/>
      <c r="F55" s="4"/>
      <c r="G55" s="4"/>
      <c r="H55" s="4"/>
      <c r="I55" s="4"/>
      <c r="J55" s="4"/>
      <c r="K55" s="4"/>
      <c r="L55" s="4"/>
      <c r="M55" s="4"/>
      <c r="N55" s="4"/>
      <c r="O55" s="4"/>
      <c r="P55" s="4"/>
      <c r="Q55" s="4"/>
      <c r="R55" s="4"/>
    </row>
    <row r="56" spans="1:74" s="26" customFormat="1">
      <c r="A56" s="4"/>
      <c r="B56" s="4"/>
      <c r="C56" s="4"/>
      <c r="D56" s="4"/>
      <c r="E56" s="4"/>
      <c r="F56" s="4"/>
      <c r="G56" s="4"/>
      <c r="H56" s="4"/>
      <c r="I56" s="4"/>
      <c r="J56" s="4"/>
      <c r="K56" s="4"/>
      <c r="L56" s="4"/>
      <c r="M56" s="4"/>
      <c r="N56" s="4"/>
      <c r="O56" s="4"/>
      <c r="P56" s="4"/>
      <c r="Q56" s="4"/>
      <c r="R56" s="4"/>
    </row>
    <row r="57" spans="1:74" s="26" customFormat="1">
      <c r="A57" s="4"/>
      <c r="B57" s="4"/>
      <c r="C57" s="4"/>
      <c r="D57" s="4"/>
      <c r="E57" s="4"/>
      <c r="F57" s="4"/>
      <c r="G57" s="4"/>
      <c r="H57" s="4"/>
      <c r="I57" s="4"/>
      <c r="J57" s="4"/>
      <c r="K57" s="4"/>
      <c r="L57" s="4"/>
      <c r="M57" s="4"/>
      <c r="N57" s="4"/>
      <c r="O57" s="4"/>
      <c r="P57" s="4"/>
      <c r="Q57" s="4"/>
      <c r="R57" s="4"/>
    </row>
    <row r="58" spans="1:74" s="26" customFormat="1">
      <c r="A58" s="4"/>
      <c r="B58" s="4"/>
      <c r="C58" s="4"/>
      <c r="D58" s="4"/>
      <c r="E58" s="4"/>
      <c r="F58" s="4"/>
      <c r="G58" s="4"/>
      <c r="H58" s="4"/>
      <c r="I58" s="4"/>
      <c r="J58" s="4"/>
      <c r="K58" s="4"/>
      <c r="L58" s="4"/>
      <c r="M58" s="4"/>
      <c r="N58" s="4"/>
      <c r="O58" s="4"/>
      <c r="P58" s="4"/>
      <c r="Q58" s="4"/>
      <c r="R58" s="4"/>
    </row>
    <row r="59" spans="1:74" s="26" customFormat="1">
      <c r="A59" s="4"/>
      <c r="B59" s="4"/>
      <c r="C59" s="4"/>
      <c r="D59" s="4"/>
      <c r="E59" s="4"/>
      <c r="F59" s="4"/>
      <c r="G59" s="4"/>
      <c r="H59" s="4"/>
      <c r="I59" s="4"/>
      <c r="J59" s="4"/>
      <c r="K59" s="4"/>
      <c r="L59" s="4"/>
      <c r="M59" s="4"/>
      <c r="N59" s="4"/>
      <c r="O59" s="4"/>
      <c r="P59" s="4"/>
      <c r="Q59" s="4"/>
      <c r="R59" s="4"/>
    </row>
    <row r="60" spans="1:74" s="26" customFormat="1">
      <c r="A60" s="4"/>
      <c r="B60" s="4"/>
      <c r="C60" s="4"/>
      <c r="D60" s="4"/>
      <c r="E60" s="4"/>
      <c r="F60" s="4"/>
      <c r="G60" s="4"/>
      <c r="H60" s="4"/>
      <c r="I60" s="4"/>
      <c r="J60" s="4"/>
      <c r="K60" s="4"/>
      <c r="L60" s="4"/>
      <c r="M60" s="4"/>
      <c r="N60" s="4"/>
      <c r="O60" s="4"/>
      <c r="P60" s="4"/>
      <c r="Q60" s="4"/>
      <c r="R60" s="4"/>
    </row>
    <row r="61" spans="1:74" s="26" customFormat="1">
      <c r="A61" s="4"/>
      <c r="B61" s="4"/>
      <c r="C61" s="4"/>
      <c r="D61" s="4"/>
      <c r="E61" s="4"/>
      <c r="F61" s="4"/>
      <c r="G61" s="4"/>
      <c r="H61" s="4"/>
      <c r="I61" s="4"/>
      <c r="J61" s="4"/>
      <c r="K61" s="4"/>
      <c r="L61" s="4"/>
      <c r="M61" s="4"/>
      <c r="N61" s="4"/>
      <c r="O61" s="4"/>
      <c r="P61" s="4"/>
      <c r="Q61" s="4"/>
      <c r="R61" s="4"/>
    </row>
    <row r="62" spans="1:74" s="26" customFormat="1">
      <c r="A62" s="4"/>
      <c r="B62" s="4"/>
      <c r="C62" s="4"/>
      <c r="D62" s="4"/>
      <c r="E62" s="4"/>
      <c r="F62" s="4"/>
      <c r="G62" s="4"/>
      <c r="H62" s="4"/>
      <c r="I62" s="4"/>
      <c r="J62" s="4"/>
      <c r="K62" s="4"/>
      <c r="L62" s="4"/>
      <c r="M62" s="4"/>
      <c r="N62" s="4"/>
      <c r="O62" s="4"/>
      <c r="P62" s="4"/>
      <c r="Q62" s="4"/>
      <c r="R62" s="4"/>
    </row>
    <row r="63" spans="1:74" s="26" customFormat="1">
      <c r="A63" s="4"/>
      <c r="B63" s="4"/>
      <c r="C63" s="4"/>
      <c r="D63" s="4"/>
      <c r="E63" s="4"/>
      <c r="F63" s="4"/>
      <c r="G63" s="4"/>
      <c r="H63" s="4"/>
      <c r="I63" s="4"/>
      <c r="J63" s="4"/>
      <c r="K63" s="4"/>
      <c r="L63" s="4"/>
      <c r="M63" s="4"/>
      <c r="N63" s="4"/>
      <c r="O63" s="4"/>
      <c r="P63" s="4"/>
      <c r="Q63" s="4"/>
      <c r="R63" s="4"/>
    </row>
    <row r="64" spans="1:74" s="26" customFormat="1">
      <c r="A64" s="4"/>
      <c r="B64" s="4"/>
      <c r="C64" s="4"/>
      <c r="D64" s="4"/>
      <c r="E64" s="4"/>
      <c r="F64" s="4"/>
      <c r="G64" s="4"/>
      <c r="H64" s="4"/>
      <c r="I64" s="4"/>
      <c r="J64" s="4"/>
      <c r="K64" s="4"/>
      <c r="L64" s="4"/>
      <c r="M64" s="4"/>
      <c r="N64" s="4"/>
      <c r="O64" s="4"/>
      <c r="P64" s="4"/>
      <c r="Q64" s="4"/>
      <c r="R64" s="4"/>
    </row>
    <row r="65" spans="1:18" s="26" customFormat="1">
      <c r="A65" s="4"/>
      <c r="B65" s="4"/>
      <c r="C65" s="4"/>
      <c r="D65" s="4"/>
      <c r="E65" s="4"/>
      <c r="F65" s="4"/>
      <c r="G65" s="4"/>
      <c r="H65" s="4"/>
      <c r="I65" s="4"/>
      <c r="J65" s="4"/>
      <c r="K65" s="4"/>
      <c r="L65" s="4"/>
      <c r="M65" s="4"/>
      <c r="N65" s="4"/>
      <c r="O65" s="4"/>
      <c r="P65" s="4"/>
      <c r="Q65" s="4"/>
      <c r="R65" s="4"/>
    </row>
    <row r="66" spans="1:18" s="26" customFormat="1">
      <c r="A66" s="4"/>
      <c r="B66" s="4"/>
      <c r="C66" s="4"/>
      <c r="D66" s="4"/>
      <c r="E66" s="4"/>
      <c r="F66" s="4"/>
      <c r="G66" s="4"/>
      <c r="H66" s="4"/>
      <c r="I66" s="4"/>
      <c r="J66" s="4"/>
      <c r="K66" s="4"/>
      <c r="L66" s="4"/>
      <c r="M66" s="4"/>
      <c r="N66" s="4"/>
      <c r="O66" s="4"/>
      <c r="P66" s="4"/>
      <c r="Q66" s="4"/>
      <c r="R66" s="4"/>
    </row>
    <row r="67" spans="1:18" s="26" customFormat="1">
      <c r="A67" s="4"/>
      <c r="B67" s="4"/>
      <c r="C67" s="4"/>
      <c r="D67" s="4"/>
      <c r="E67" s="4"/>
      <c r="F67" s="4"/>
      <c r="G67" s="4"/>
      <c r="H67" s="4"/>
      <c r="I67" s="4"/>
      <c r="J67" s="4"/>
      <c r="K67" s="4"/>
      <c r="L67" s="4"/>
      <c r="M67" s="4"/>
      <c r="N67" s="4"/>
      <c r="O67" s="4"/>
      <c r="P67" s="4"/>
      <c r="Q67" s="4"/>
      <c r="R67" s="4"/>
    </row>
    <row r="68" spans="1:18" s="26" customFormat="1">
      <c r="A68" s="4"/>
      <c r="B68" s="4"/>
      <c r="C68" s="4"/>
      <c r="D68" s="4"/>
      <c r="E68" s="4"/>
      <c r="F68" s="4"/>
      <c r="G68" s="4"/>
      <c r="H68" s="4"/>
      <c r="I68" s="4"/>
      <c r="J68" s="4"/>
      <c r="K68" s="4"/>
      <c r="L68" s="4"/>
      <c r="M68" s="4"/>
      <c r="N68" s="4"/>
      <c r="O68" s="4"/>
      <c r="P68" s="4"/>
      <c r="Q68" s="4"/>
      <c r="R68" s="4"/>
    </row>
    <row r="69" spans="1:18" s="26" customFormat="1">
      <c r="A69" s="4"/>
      <c r="B69" s="4"/>
      <c r="C69" s="4"/>
      <c r="D69" s="4"/>
      <c r="E69" s="4"/>
      <c r="F69" s="4"/>
      <c r="G69" s="4"/>
      <c r="H69" s="4"/>
      <c r="I69" s="4"/>
      <c r="J69" s="4"/>
      <c r="K69" s="4"/>
      <c r="L69" s="4"/>
      <c r="M69" s="4"/>
      <c r="N69" s="4"/>
      <c r="O69" s="4"/>
      <c r="P69" s="4"/>
      <c r="Q69" s="4"/>
      <c r="R69" s="4"/>
    </row>
    <row r="70" spans="1:18" s="26" customFormat="1">
      <c r="A70" s="4"/>
      <c r="B70" s="4"/>
      <c r="C70" s="4"/>
      <c r="D70" s="4"/>
      <c r="E70" s="4"/>
      <c r="F70" s="4"/>
      <c r="G70" s="4"/>
      <c r="H70" s="4"/>
      <c r="I70" s="4"/>
      <c r="J70" s="4"/>
      <c r="K70" s="4"/>
      <c r="L70" s="4"/>
      <c r="M70" s="4"/>
      <c r="N70" s="4"/>
      <c r="O70" s="4"/>
      <c r="P70" s="4"/>
      <c r="Q70" s="4"/>
      <c r="R70" s="4"/>
    </row>
    <row r="71" spans="1:18" s="26" customFormat="1">
      <c r="A71" s="4"/>
      <c r="B71" s="4"/>
      <c r="C71" s="4"/>
      <c r="D71" s="4"/>
      <c r="E71" s="4"/>
      <c r="F71" s="4"/>
      <c r="G71" s="4"/>
      <c r="H71" s="4"/>
      <c r="I71" s="4"/>
      <c r="J71" s="4"/>
      <c r="K71" s="4"/>
      <c r="L71" s="4"/>
      <c r="M71" s="4"/>
      <c r="N71" s="4"/>
      <c r="O71" s="4"/>
      <c r="P71" s="4"/>
      <c r="Q71" s="4"/>
      <c r="R71" s="4"/>
    </row>
    <row r="72" spans="1:18" s="26" customFormat="1">
      <c r="A72" s="4"/>
      <c r="B72" s="4"/>
      <c r="C72" s="4"/>
      <c r="D72" s="4"/>
      <c r="E72" s="4"/>
      <c r="F72" s="4"/>
      <c r="G72" s="4"/>
      <c r="H72" s="4"/>
      <c r="I72" s="4"/>
      <c r="J72" s="4"/>
      <c r="K72" s="4"/>
      <c r="L72" s="4"/>
      <c r="M72" s="4"/>
      <c r="N72" s="4"/>
      <c r="O72" s="4"/>
      <c r="P72" s="4"/>
      <c r="Q72" s="4"/>
      <c r="R72" s="4"/>
    </row>
    <row r="73" spans="1:18" s="26" customFormat="1">
      <c r="A73" s="4"/>
      <c r="B73" s="4"/>
      <c r="C73" s="4"/>
      <c r="D73" s="4"/>
      <c r="E73" s="4"/>
      <c r="F73" s="4"/>
      <c r="G73" s="4"/>
      <c r="H73" s="4"/>
      <c r="I73" s="4"/>
      <c r="J73" s="4"/>
      <c r="K73" s="4"/>
      <c r="L73" s="4"/>
      <c r="M73" s="4"/>
      <c r="N73" s="4"/>
      <c r="O73" s="4"/>
      <c r="P73" s="4"/>
      <c r="Q73" s="4"/>
      <c r="R73" s="4"/>
    </row>
    <row r="74" spans="1:18" s="26" customFormat="1">
      <c r="A74" s="4"/>
      <c r="B74" s="4"/>
      <c r="C74" s="4"/>
      <c r="D74" s="4"/>
      <c r="E74" s="4"/>
      <c r="F74" s="4"/>
      <c r="G74" s="4"/>
      <c r="H74" s="4"/>
      <c r="I74" s="4"/>
      <c r="J74" s="4"/>
      <c r="K74" s="4"/>
      <c r="L74" s="4"/>
      <c r="M74" s="4"/>
      <c r="N74" s="4"/>
      <c r="O74" s="4"/>
      <c r="P74" s="4"/>
      <c r="Q74" s="4"/>
      <c r="R74" s="4"/>
    </row>
    <row r="75" spans="1:18" s="26" customFormat="1">
      <c r="A75" s="4"/>
      <c r="B75" s="4"/>
      <c r="C75" s="4"/>
      <c r="D75" s="4"/>
      <c r="E75" s="4"/>
      <c r="F75" s="4"/>
      <c r="G75" s="4"/>
      <c r="H75" s="4"/>
      <c r="I75" s="4"/>
      <c r="J75" s="4"/>
      <c r="K75" s="4"/>
      <c r="L75" s="4"/>
      <c r="M75" s="4"/>
      <c r="N75" s="4"/>
      <c r="O75" s="4"/>
      <c r="P75" s="4"/>
      <c r="Q75" s="4"/>
      <c r="R75" s="4"/>
    </row>
    <row r="76" spans="1:18" s="26" customFormat="1">
      <c r="A76" s="4"/>
      <c r="B76" s="4"/>
      <c r="C76" s="4"/>
      <c r="D76" s="4"/>
      <c r="E76" s="4"/>
      <c r="F76" s="4"/>
      <c r="G76" s="4"/>
      <c r="H76" s="4"/>
      <c r="I76" s="4"/>
      <c r="J76" s="4"/>
      <c r="K76" s="4"/>
      <c r="L76" s="4"/>
      <c r="M76" s="4"/>
      <c r="N76" s="4"/>
      <c r="O76" s="4"/>
      <c r="P76" s="4"/>
      <c r="Q76" s="4"/>
      <c r="R76" s="4"/>
    </row>
    <row r="77" spans="1:18" s="26" customFormat="1">
      <c r="A77" s="4"/>
      <c r="B77" s="4"/>
      <c r="C77" s="4"/>
      <c r="D77" s="4"/>
      <c r="E77" s="4"/>
      <c r="F77" s="4"/>
      <c r="G77" s="4"/>
      <c r="H77" s="4"/>
      <c r="I77" s="4"/>
      <c r="J77" s="4"/>
      <c r="K77" s="4"/>
      <c r="L77" s="4"/>
      <c r="M77" s="4"/>
      <c r="N77" s="4"/>
      <c r="O77" s="4"/>
      <c r="P77" s="4"/>
      <c r="Q77" s="4"/>
      <c r="R77" s="4"/>
    </row>
    <row r="78" spans="1:18" s="26" customFormat="1">
      <c r="A78" s="4"/>
      <c r="B78" s="4"/>
      <c r="C78" s="4"/>
      <c r="D78" s="4"/>
      <c r="E78" s="4"/>
      <c r="F78" s="4"/>
      <c r="G78" s="4"/>
      <c r="H78" s="4"/>
      <c r="I78" s="4"/>
      <c r="J78" s="4"/>
      <c r="K78" s="4"/>
      <c r="L78" s="4"/>
      <c r="M78" s="4"/>
      <c r="N78" s="4"/>
      <c r="O78" s="4"/>
      <c r="P78" s="4"/>
      <c r="Q78" s="4"/>
      <c r="R78" s="4"/>
    </row>
    <row r="79" spans="1:18" s="26" customFormat="1">
      <c r="A79" s="4"/>
      <c r="B79" s="4"/>
      <c r="C79" s="4"/>
      <c r="D79" s="4"/>
      <c r="E79" s="4"/>
      <c r="F79" s="4"/>
      <c r="G79" s="4"/>
      <c r="H79" s="4"/>
      <c r="I79" s="4"/>
      <c r="J79" s="4"/>
      <c r="K79" s="4"/>
      <c r="L79" s="4"/>
      <c r="M79" s="4"/>
      <c r="N79" s="4"/>
      <c r="O79" s="4"/>
      <c r="P79" s="4"/>
      <c r="Q79" s="4"/>
      <c r="R79" s="4"/>
    </row>
    <row r="80" spans="1:18" s="26" customFormat="1">
      <c r="A80" s="4"/>
      <c r="B80" s="4"/>
      <c r="C80" s="4"/>
      <c r="D80" s="4"/>
      <c r="E80" s="4"/>
      <c r="F80" s="4"/>
      <c r="G80" s="4"/>
      <c r="H80" s="4"/>
      <c r="I80" s="4"/>
      <c r="J80" s="4"/>
      <c r="K80" s="4"/>
      <c r="L80" s="4"/>
      <c r="M80" s="4"/>
      <c r="N80" s="4"/>
      <c r="O80" s="4"/>
      <c r="P80" s="4"/>
      <c r="Q80" s="4"/>
      <c r="R80" s="4"/>
    </row>
    <row r="81" spans="1:18" s="26" customFormat="1">
      <c r="A81" s="4"/>
      <c r="B81" s="4"/>
      <c r="C81" s="4"/>
      <c r="D81" s="4"/>
      <c r="E81" s="4"/>
      <c r="F81" s="4"/>
      <c r="G81" s="4"/>
      <c r="H81" s="4"/>
      <c r="I81" s="4"/>
      <c r="J81" s="4"/>
      <c r="K81" s="4"/>
      <c r="L81" s="4"/>
      <c r="M81" s="4"/>
      <c r="N81" s="4"/>
      <c r="O81" s="4"/>
      <c r="P81" s="4"/>
      <c r="Q81" s="4"/>
      <c r="R81" s="4"/>
    </row>
    <row r="82" spans="1:18" s="26" customFormat="1">
      <c r="A82" s="4"/>
      <c r="B82" s="4"/>
      <c r="C82" s="4"/>
      <c r="D82" s="4"/>
      <c r="E82" s="4"/>
      <c r="F82" s="4"/>
      <c r="G82" s="4"/>
      <c r="H82" s="4"/>
      <c r="I82" s="4"/>
      <c r="J82" s="4"/>
      <c r="K82" s="4"/>
      <c r="L82" s="4"/>
      <c r="M82" s="4"/>
      <c r="N82" s="4"/>
      <c r="O82" s="4"/>
      <c r="P82" s="4"/>
      <c r="Q82" s="4"/>
      <c r="R82" s="4"/>
    </row>
    <row r="83" spans="1:18" s="26" customFormat="1">
      <c r="A83" s="4"/>
      <c r="B83" s="4"/>
      <c r="C83" s="4"/>
      <c r="D83" s="4"/>
      <c r="E83" s="4"/>
      <c r="F83" s="4"/>
      <c r="G83" s="4"/>
      <c r="H83" s="4"/>
      <c r="I83" s="4"/>
      <c r="J83" s="4"/>
      <c r="K83" s="4"/>
      <c r="L83" s="4"/>
      <c r="M83" s="4"/>
      <c r="N83" s="4"/>
      <c r="O83" s="4"/>
      <c r="P83" s="4"/>
      <c r="Q83" s="4"/>
      <c r="R83" s="4"/>
    </row>
    <row r="84" spans="1:18" s="26" customFormat="1">
      <c r="A84" s="4"/>
      <c r="B84" s="4"/>
      <c r="C84" s="4"/>
      <c r="D84" s="4"/>
      <c r="E84" s="4"/>
      <c r="F84" s="4"/>
      <c r="G84" s="4"/>
      <c r="H84" s="4"/>
      <c r="I84" s="4"/>
      <c r="J84" s="4"/>
      <c r="K84" s="4"/>
      <c r="L84" s="4"/>
      <c r="M84" s="4"/>
      <c r="N84" s="4"/>
      <c r="O84" s="4"/>
      <c r="P84" s="4"/>
      <c r="Q84" s="4"/>
      <c r="R84" s="4"/>
    </row>
    <row r="85" spans="1:18" s="26" customFormat="1">
      <c r="A85" s="4"/>
      <c r="B85" s="4"/>
      <c r="C85" s="4"/>
      <c r="D85" s="4"/>
      <c r="E85" s="4"/>
      <c r="F85" s="4"/>
      <c r="G85" s="4"/>
      <c r="H85" s="4"/>
      <c r="I85" s="4"/>
      <c r="J85" s="4"/>
      <c r="K85" s="4"/>
      <c r="L85" s="4"/>
      <c r="M85" s="4"/>
      <c r="N85" s="4"/>
      <c r="O85" s="4"/>
      <c r="P85" s="4"/>
      <c r="Q85" s="4"/>
      <c r="R85" s="4"/>
    </row>
    <row r="86" spans="1:18" s="26" customFormat="1">
      <c r="A86" s="4"/>
      <c r="B86" s="4"/>
      <c r="C86" s="4"/>
      <c r="D86" s="4"/>
      <c r="E86" s="4"/>
      <c r="F86" s="4"/>
      <c r="G86" s="4"/>
      <c r="H86" s="4"/>
      <c r="I86" s="4"/>
      <c r="J86" s="4"/>
      <c r="K86" s="4"/>
      <c r="L86" s="4"/>
      <c r="M86" s="4"/>
      <c r="N86" s="4"/>
      <c r="O86" s="4"/>
      <c r="P86" s="4"/>
      <c r="Q86" s="4"/>
      <c r="R86" s="4"/>
    </row>
    <row r="87" spans="1:18" s="26" customFormat="1">
      <c r="A87" s="4"/>
      <c r="B87" s="4"/>
      <c r="C87" s="4"/>
      <c r="D87" s="4"/>
      <c r="E87" s="4"/>
      <c r="F87" s="4"/>
      <c r="G87" s="4"/>
      <c r="H87" s="4"/>
      <c r="I87" s="4"/>
      <c r="J87" s="4"/>
      <c r="K87" s="4"/>
      <c r="L87" s="4"/>
      <c r="M87" s="4"/>
      <c r="N87" s="4"/>
      <c r="O87" s="4"/>
      <c r="P87" s="4"/>
      <c r="Q87" s="4"/>
      <c r="R87" s="4"/>
    </row>
    <row r="88" spans="1:18" s="26" customFormat="1">
      <c r="A88" s="4"/>
      <c r="B88" s="4"/>
      <c r="C88" s="4"/>
      <c r="D88" s="4"/>
      <c r="E88" s="4"/>
      <c r="F88" s="4"/>
      <c r="G88" s="4"/>
      <c r="H88" s="4"/>
      <c r="I88" s="4"/>
      <c r="J88" s="4"/>
      <c r="K88" s="4"/>
      <c r="L88" s="4"/>
      <c r="M88" s="4"/>
      <c r="N88" s="4"/>
      <c r="O88" s="4"/>
      <c r="P88" s="4"/>
      <c r="Q88" s="4"/>
      <c r="R88" s="4"/>
    </row>
    <row r="89" spans="1:18" s="26" customFormat="1">
      <c r="A89" s="4"/>
      <c r="B89" s="4"/>
      <c r="C89" s="4"/>
      <c r="D89" s="4"/>
      <c r="E89" s="4"/>
      <c r="F89" s="4"/>
      <c r="G89" s="4"/>
      <c r="H89" s="4"/>
      <c r="I89" s="4"/>
      <c r="J89" s="4"/>
      <c r="K89" s="4"/>
      <c r="L89" s="4"/>
      <c r="M89" s="4"/>
      <c r="N89" s="4"/>
      <c r="O89" s="4"/>
      <c r="P89" s="4"/>
      <c r="Q89" s="4"/>
      <c r="R89" s="4"/>
    </row>
    <row r="90" spans="1:18" s="26" customFormat="1">
      <c r="A90" s="4"/>
      <c r="B90" s="4"/>
      <c r="C90" s="4"/>
      <c r="D90" s="4"/>
      <c r="E90" s="4"/>
      <c r="F90" s="4"/>
      <c r="G90" s="4"/>
      <c r="H90" s="4"/>
      <c r="I90" s="4"/>
      <c r="J90" s="4"/>
      <c r="K90" s="4"/>
      <c r="L90" s="4"/>
      <c r="M90" s="4"/>
      <c r="N90" s="4"/>
      <c r="O90" s="4"/>
      <c r="P90" s="4"/>
      <c r="Q90" s="4"/>
      <c r="R90" s="4"/>
    </row>
    <row r="91" spans="1:18" s="26" customFormat="1">
      <c r="A91" s="4"/>
      <c r="B91" s="4"/>
      <c r="C91" s="4"/>
      <c r="D91" s="4"/>
      <c r="E91" s="4"/>
      <c r="F91" s="4"/>
      <c r="G91" s="4"/>
      <c r="H91" s="4"/>
      <c r="I91" s="4"/>
      <c r="J91" s="4"/>
      <c r="K91" s="4"/>
      <c r="L91" s="4"/>
      <c r="M91" s="4"/>
      <c r="N91" s="4"/>
      <c r="O91" s="4"/>
      <c r="P91" s="4"/>
      <c r="Q91" s="4"/>
      <c r="R91" s="4"/>
    </row>
    <row r="92" spans="1:18" s="26" customFormat="1">
      <c r="A92" s="4"/>
      <c r="B92" s="4"/>
      <c r="C92" s="4"/>
      <c r="D92" s="4"/>
      <c r="E92" s="4"/>
      <c r="F92" s="4"/>
      <c r="G92" s="4"/>
      <c r="H92" s="4"/>
      <c r="I92" s="4"/>
      <c r="J92" s="4"/>
      <c r="K92" s="4"/>
      <c r="L92" s="4"/>
      <c r="M92" s="4"/>
      <c r="N92" s="4"/>
      <c r="O92" s="4"/>
      <c r="P92" s="4"/>
      <c r="Q92" s="4"/>
      <c r="R92" s="4"/>
    </row>
    <row r="93" spans="1:18" s="26" customFormat="1">
      <c r="A93" s="4"/>
      <c r="B93" s="4"/>
      <c r="C93" s="4"/>
      <c r="D93" s="4"/>
      <c r="E93" s="4"/>
      <c r="F93" s="4"/>
      <c r="G93" s="4"/>
      <c r="H93" s="4"/>
      <c r="I93" s="4"/>
      <c r="J93" s="4"/>
      <c r="K93" s="4"/>
      <c r="L93" s="4"/>
      <c r="M93" s="4"/>
      <c r="N93" s="4"/>
      <c r="O93" s="4"/>
      <c r="P93" s="4"/>
      <c r="Q93" s="4"/>
      <c r="R93" s="4"/>
    </row>
    <row r="94" spans="1:18" s="26" customFormat="1">
      <c r="A94" s="4"/>
      <c r="B94" s="4"/>
      <c r="C94" s="4"/>
      <c r="D94" s="4"/>
      <c r="E94" s="4"/>
      <c r="F94" s="4"/>
      <c r="G94" s="4"/>
      <c r="H94" s="4"/>
      <c r="I94" s="4"/>
      <c r="J94" s="4"/>
      <c r="K94" s="4"/>
      <c r="L94" s="4"/>
      <c r="M94" s="4"/>
      <c r="N94" s="4"/>
      <c r="O94" s="4"/>
      <c r="P94" s="4"/>
      <c r="Q94" s="4"/>
      <c r="R94" s="4"/>
    </row>
    <row r="95" spans="1:18" s="26" customFormat="1">
      <c r="A95" s="4"/>
      <c r="B95" s="4"/>
      <c r="C95" s="4"/>
      <c r="D95" s="4"/>
      <c r="E95" s="4"/>
      <c r="F95" s="4"/>
      <c r="G95" s="4"/>
      <c r="H95" s="4"/>
      <c r="I95" s="4"/>
      <c r="J95" s="4"/>
      <c r="K95" s="4"/>
      <c r="L95" s="4"/>
      <c r="M95" s="4"/>
      <c r="N95" s="4"/>
      <c r="O95" s="4"/>
      <c r="P95" s="4"/>
      <c r="Q95" s="4"/>
      <c r="R95" s="4"/>
    </row>
    <row r="96" spans="1:18" s="26" customFormat="1">
      <c r="A96" s="4"/>
      <c r="B96" s="4"/>
      <c r="C96" s="4"/>
      <c r="D96" s="4"/>
      <c r="E96" s="4"/>
      <c r="F96" s="4"/>
      <c r="G96" s="4"/>
      <c r="H96" s="4"/>
      <c r="I96" s="4"/>
      <c r="J96" s="4"/>
      <c r="K96" s="4"/>
      <c r="L96" s="4"/>
      <c r="M96" s="4"/>
      <c r="N96" s="4"/>
      <c r="O96" s="4"/>
      <c r="P96" s="4"/>
      <c r="Q96" s="4"/>
      <c r="R96" s="4"/>
    </row>
    <row r="97" spans="1:18" s="26" customFormat="1">
      <c r="A97" s="4"/>
      <c r="B97" s="4"/>
      <c r="C97" s="4"/>
      <c r="D97" s="4"/>
      <c r="E97" s="4"/>
      <c r="F97" s="4"/>
      <c r="G97" s="4"/>
      <c r="H97" s="4"/>
      <c r="I97" s="4"/>
      <c r="J97" s="4"/>
      <c r="K97" s="4"/>
      <c r="L97" s="4"/>
      <c r="M97" s="4"/>
      <c r="N97" s="4"/>
      <c r="O97" s="4"/>
      <c r="P97" s="4"/>
      <c r="Q97" s="4"/>
      <c r="R97" s="4"/>
    </row>
    <row r="98" spans="1:18" s="26" customFormat="1">
      <c r="A98" s="4"/>
      <c r="B98" s="4"/>
      <c r="C98" s="4"/>
      <c r="D98" s="4"/>
      <c r="E98" s="4"/>
      <c r="F98" s="4"/>
      <c r="G98" s="4"/>
      <c r="H98" s="4"/>
      <c r="I98" s="4"/>
      <c r="J98" s="4"/>
      <c r="K98" s="4"/>
      <c r="L98" s="4"/>
      <c r="M98" s="4"/>
      <c r="N98" s="4"/>
      <c r="O98" s="4"/>
      <c r="P98" s="4"/>
      <c r="Q98" s="4"/>
      <c r="R98" s="4"/>
    </row>
    <row r="99" spans="1:18" s="26" customFormat="1">
      <c r="A99" s="4"/>
      <c r="B99" s="4"/>
      <c r="C99" s="4"/>
      <c r="D99" s="4"/>
      <c r="E99" s="4"/>
      <c r="F99" s="4"/>
      <c r="G99" s="4"/>
      <c r="H99" s="4"/>
      <c r="I99" s="4"/>
      <c r="J99" s="4"/>
      <c r="K99" s="4"/>
      <c r="L99" s="4"/>
      <c r="M99" s="4"/>
      <c r="N99" s="4"/>
      <c r="O99" s="4"/>
      <c r="P99" s="4"/>
      <c r="Q99" s="4"/>
      <c r="R99" s="4"/>
    </row>
    <row r="100" spans="1:18" s="26" customFormat="1">
      <c r="A100" s="4"/>
      <c r="B100" s="4"/>
      <c r="C100" s="4"/>
      <c r="D100" s="4"/>
      <c r="E100" s="4"/>
      <c r="F100" s="4"/>
      <c r="G100" s="4"/>
      <c r="H100" s="4"/>
      <c r="I100" s="4"/>
      <c r="J100" s="4"/>
      <c r="K100" s="4"/>
      <c r="L100" s="4"/>
      <c r="M100" s="4"/>
      <c r="N100" s="4"/>
      <c r="O100" s="4"/>
      <c r="P100" s="4"/>
      <c r="Q100" s="4"/>
      <c r="R100" s="4"/>
    </row>
    <row r="101" spans="1:18" s="26" customFormat="1">
      <c r="A101" s="4"/>
      <c r="B101" s="4"/>
      <c r="C101" s="4"/>
      <c r="D101" s="4"/>
      <c r="E101" s="4"/>
      <c r="F101" s="4"/>
      <c r="G101" s="4"/>
      <c r="H101" s="4"/>
      <c r="I101" s="4"/>
      <c r="J101" s="4"/>
      <c r="K101" s="4"/>
      <c r="L101" s="4"/>
      <c r="M101" s="4"/>
      <c r="N101" s="4"/>
      <c r="O101" s="4"/>
      <c r="P101" s="4"/>
      <c r="Q101" s="4"/>
      <c r="R101" s="4"/>
    </row>
    <row r="102" spans="1:18" s="26" customFormat="1">
      <c r="A102" s="4"/>
      <c r="B102" s="4"/>
      <c r="C102" s="4"/>
      <c r="D102" s="4"/>
      <c r="E102" s="4"/>
      <c r="F102" s="4"/>
      <c r="G102" s="4"/>
      <c r="H102" s="4"/>
      <c r="I102" s="4"/>
      <c r="J102" s="4"/>
      <c r="K102" s="4"/>
      <c r="L102" s="4"/>
      <c r="M102" s="4"/>
      <c r="N102" s="4"/>
      <c r="O102" s="4"/>
      <c r="P102" s="4"/>
      <c r="Q102" s="4"/>
      <c r="R102" s="4"/>
    </row>
    <row r="103" spans="1:18" s="26" customFormat="1">
      <c r="A103" s="4"/>
      <c r="B103" s="4"/>
      <c r="C103" s="4"/>
      <c r="D103" s="4"/>
      <c r="E103" s="4"/>
      <c r="F103" s="4"/>
      <c r="G103" s="4"/>
      <c r="H103" s="4"/>
      <c r="I103" s="4"/>
      <c r="J103" s="4"/>
      <c r="K103" s="4"/>
      <c r="L103" s="4"/>
      <c r="M103" s="4"/>
      <c r="N103" s="4"/>
      <c r="O103" s="4"/>
      <c r="P103" s="4"/>
      <c r="Q103" s="4"/>
      <c r="R103" s="4"/>
    </row>
    <row r="104" spans="1:18" s="26" customFormat="1">
      <c r="A104" s="4"/>
      <c r="B104" s="4"/>
      <c r="C104" s="4"/>
      <c r="D104" s="4"/>
      <c r="E104" s="4"/>
      <c r="F104" s="4"/>
      <c r="G104" s="4"/>
      <c r="H104" s="4"/>
      <c r="I104" s="4"/>
      <c r="J104" s="4"/>
      <c r="K104" s="4"/>
      <c r="L104" s="4"/>
      <c r="M104" s="4"/>
      <c r="N104" s="4"/>
      <c r="O104" s="4"/>
      <c r="P104" s="4"/>
      <c r="Q104" s="4"/>
      <c r="R104" s="4"/>
    </row>
    <row r="105" spans="1:18" s="26" customFormat="1">
      <c r="A105" s="4"/>
      <c r="B105" s="4"/>
      <c r="C105" s="4"/>
      <c r="D105" s="4"/>
      <c r="E105" s="4"/>
      <c r="F105" s="4"/>
      <c r="G105" s="4"/>
      <c r="H105" s="4"/>
      <c r="I105" s="4"/>
      <c r="J105" s="4"/>
      <c r="K105" s="4"/>
      <c r="L105" s="4"/>
      <c r="M105" s="4"/>
      <c r="N105" s="4"/>
      <c r="O105" s="4"/>
      <c r="P105" s="4"/>
      <c r="Q105" s="4"/>
      <c r="R105" s="4"/>
    </row>
    <row r="106" spans="1:18" s="26" customFormat="1">
      <c r="A106" s="4"/>
      <c r="B106" s="4"/>
      <c r="C106" s="4"/>
      <c r="D106" s="4"/>
      <c r="E106" s="4"/>
      <c r="F106" s="4"/>
      <c r="G106" s="4"/>
      <c r="H106" s="4"/>
      <c r="I106" s="4"/>
      <c r="J106" s="4"/>
      <c r="K106" s="4"/>
      <c r="L106" s="4"/>
      <c r="M106" s="4"/>
      <c r="N106" s="4"/>
      <c r="O106" s="4"/>
      <c r="P106" s="4"/>
      <c r="Q106" s="4"/>
      <c r="R106" s="4"/>
    </row>
    <row r="107" spans="1:18" s="26" customFormat="1">
      <c r="A107" s="4"/>
      <c r="B107" s="4"/>
      <c r="C107" s="4"/>
      <c r="D107" s="4"/>
      <c r="E107" s="4"/>
      <c r="F107" s="4"/>
      <c r="G107" s="4"/>
      <c r="H107" s="4"/>
      <c r="I107" s="4"/>
      <c r="J107" s="4"/>
      <c r="K107" s="4"/>
      <c r="L107" s="4"/>
      <c r="M107" s="4"/>
      <c r="N107" s="4"/>
      <c r="O107" s="4"/>
      <c r="P107" s="4"/>
      <c r="Q107" s="4"/>
      <c r="R107" s="4"/>
    </row>
    <row r="108" spans="1:18" s="26" customFormat="1">
      <c r="A108" s="4"/>
      <c r="B108" s="4"/>
      <c r="C108" s="4"/>
      <c r="D108" s="4"/>
      <c r="E108" s="4"/>
      <c r="F108" s="4"/>
      <c r="G108" s="4"/>
      <c r="H108" s="4"/>
      <c r="I108" s="4"/>
      <c r="J108" s="4"/>
      <c r="K108" s="4"/>
      <c r="L108" s="4"/>
      <c r="M108" s="4"/>
      <c r="N108" s="4"/>
      <c r="O108" s="4"/>
      <c r="P108" s="4"/>
      <c r="Q108" s="4"/>
      <c r="R108" s="4"/>
    </row>
    <row r="109" spans="1:18" s="26" customFormat="1">
      <c r="A109" s="4"/>
      <c r="B109" s="4"/>
      <c r="C109" s="4"/>
      <c r="D109" s="4"/>
      <c r="E109" s="4"/>
      <c r="F109" s="4"/>
      <c r="G109" s="4"/>
      <c r="H109" s="4"/>
      <c r="I109" s="4"/>
      <c r="J109" s="4"/>
      <c r="K109" s="4"/>
      <c r="L109" s="4"/>
      <c r="M109" s="4"/>
      <c r="N109" s="4"/>
      <c r="O109" s="4"/>
      <c r="P109" s="4"/>
      <c r="Q109" s="4"/>
      <c r="R109" s="4"/>
    </row>
    <row r="110" spans="1:18" s="26" customFormat="1">
      <c r="A110" s="4"/>
      <c r="B110" s="4"/>
      <c r="C110" s="4"/>
      <c r="D110" s="4"/>
      <c r="E110" s="4"/>
      <c r="F110" s="4"/>
      <c r="G110" s="4"/>
      <c r="H110" s="4"/>
      <c r="I110" s="4"/>
      <c r="J110" s="4"/>
      <c r="K110" s="4"/>
      <c r="L110" s="4"/>
      <c r="M110" s="4"/>
      <c r="N110" s="4"/>
      <c r="O110" s="4"/>
      <c r="P110" s="4"/>
      <c r="Q110" s="4"/>
      <c r="R110" s="4"/>
    </row>
    <row r="111" spans="1:18" s="26" customFormat="1">
      <c r="A111" s="4"/>
      <c r="B111" s="4"/>
      <c r="C111" s="4"/>
      <c r="D111" s="4"/>
      <c r="E111" s="4"/>
      <c r="F111" s="4"/>
      <c r="G111" s="4"/>
      <c r="H111" s="4"/>
      <c r="I111" s="4"/>
      <c r="J111" s="4"/>
      <c r="K111" s="4"/>
      <c r="L111" s="4"/>
      <c r="M111" s="4"/>
      <c r="N111" s="4"/>
      <c r="O111" s="4"/>
      <c r="P111" s="4"/>
      <c r="Q111" s="4"/>
      <c r="R111" s="4"/>
    </row>
    <row r="112" spans="1:18" s="26" customFormat="1">
      <c r="A112" s="4"/>
      <c r="B112" s="4"/>
      <c r="C112" s="4"/>
      <c r="D112" s="4"/>
      <c r="E112" s="4"/>
      <c r="F112" s="4"/>
      <c r="G112" s="4"/>
      <c r="H112" s="4"/>
      <c r="I112" s="4"/>
      <c r="J112" s="4"/>
      <c r="K112" s="4"/>
      <c r="L112" s="4"/>
      <c r="M112" s="4"/>
      <c r="N112" s="4"/>
      <c r="O112" s="4"/>
      <c r="P112" s="4"/>
      <c r="Q112" s="4"/>
      <c r="R112" s="4"/>
    </row>
    <row r="113" spans="1:18" s="26" customFormat="1">
      <c r="A113" s="4"/>
      <c r="B113" s="4"/>
      <c r="C113" s="4"/>
      <c r="D113" s="4"/>
      <c r="E113" s="4"/>
      <c r="F113" s="4"/>
      <c r="G113" s="4"/>
      <c r="H113" s="4"/>
      <c r="I113" s="4"/>
      <c r="J113" s="4"/>
      <c r="K113" s="4"/>
      <c r="L113" s="4"/>
      <c r="M113" s="4"/>
      <c r="N113" s="4"/>
      <c r="O113" s="4"/>
      <c r="P113" s="4"/>
      <c r="Q113" s="4"/>
      <c r="R113" s="4"/>
    </row>
    <row r="114" spans="1:18" s="26" customFormat="1">
      <c r="A114" s="4"/>
      <c r="B114" s="4"/>
      <c r="C114" s="4"/>
      <c r="D114" s="4"/>
      <c r="E114" s="4"/>
      <c r="F114" s="4"/>
      <c r="G114" s="4"/>
      <c r="H114" s="4"/>
      <c r="I114" s="4"/>
      <c r="J114" s="4"/>
      <c r="K114" s="4"/>
      <c r="L114" s="4"/>
      <c r="M114" s="4"/>
      <c r="N114" s="4"/>
      <c r="O114" s="4"/>
      <c r="P114" s="4"/>
      <c r="Q114" s="4"/>
      <c r="R114" s="4"/>
    </row>
    <row r="115" spans="1:18" s="26" customFormat="1">
      <c r="A115" s="4"/>
      <c r="B115" s="4"/>
      <c r="C115" s="4"/>
      <c r="D115" s="4"/>
      <c r="E115" s="4"/>
      <c r="F115" s="4"/>
      <c r="G115" s="4"/>
      <c r="H115" s="4"/>
      <c r="I115" s="4"/>
      <c r="J115" s="4"/>
      <c r="K115" s="4"/>
      <c r="L115" s="4"/>
      <c r="M115" s="4"/>
      <c r="N115" s="4"/>
      <c r="O115" s="4"/>
      <c r="P115" s="4"/>
      <c r="Q115" s="4"/>
      <c r="R115" s="4"/>
    </row>
    <row r="116" spans="1:18" s="26" customFormat="1">
      <c r="A116" s="4"/>
      <c r="B116" s="4"/>
      <c r="C116" s="4"/>
      <c r="D116" s="4"/>
      <c r="E116" s="4"/>
      <c r="F116" s="4"/>
      <c r="G116" s="4"/>
      <c r="H116" s="4"/>
      <c r="I116" s="4"/>
      <c r="J116" s="4"/>
      <c r="K116" s="4"/>
      <c r="L116" s="4"/>
      <c r="M116" s="4"/>
      <c r="N116" s="4"/>
      <c r="O116" s="4"/>
      <c r="P116" s="4"/>
      <c r="Q116" s="4"/>
      <c r="R116" s="4"/>
    </row>
    <row r="117" spans="1:18" s="26" customFormat="1">
      <c r="A117" s="4"/>
      <c r="B117" s="4"/>
      <c r="C117" s="4"/>
      <c r="D117" s="4"/>
      <c r="E117" s="4"/>
      <c r="F117" s="4"/>
      <c r="G117" s="4"/>
      <c r="H117" s="4"/>
      <c r="I117" s="4"/>
      <c r="J117" s="4"/>
      <c r="K117" s="4"/>
      <c r="L117" s="4"/>
      <c r="M117" s="4"/>
      <c r="N117" s="4"/>
      <c r="O117" s="4"/>
      <c r="P117" s="4"/>
      <c r="Q117" s="4"/>
      <c r="R117" s="4"/>
    </row>
    <row r="118" spans="1:18" s="26" customFormat="1">
      <c r="A118" s="4"/>
      <c r="B118" s="4"/>
      <c r="C118" s="4"/>
      <c r="D118" s="4"/>
      <c r="E118" s="4"/>
      <c r="F118" s="4"/>
      <c r="G118" s="4"/>
      <c r="H118" s="4"/>
      <c r="I118" s="4"/>
      <c r="J118" s="4"/>
      <c r="K118" s="4"/>
      <c r="L118" s="4"/>
      <c r="M118" s="4"/>
      <c r="N118" s="4"/>
      <c r="O118" s="4"/>
      <c r="P118" s="4"/>
      <c r="Q118" s="4"/>
      <c r="R118" s="4"/>
    </row>
    <row r="119" spans="1:18" s="26" customFormat="1">
      <c r="A119" s="4"/>
      <c r="B119" s="4"/>
      <c r="C119" s="4"/>
      <c r="D119" s="4"/>
      <c r="E119" s="4"/>
      <c r="F119" s="4"/>
      <c r="G119" s="4"/>
      <c r="H119" s="4"/>
      <c r="I119" s="4"/>
      <c r="J119" s="4"/>
      <c r="K119" s="4"/>
      <c r="L119" s="4"/>
      <c r="M119" s="4"/>
      <c r="N119" s="4"/>
      <c r="O119" s="4"/>
      <c r="P119" s="4"/>
      <c r="Q119" s="4"/>
      <c r="R119" s="4"/>
    </row>
    <row r="120" spans="1:18" s="26" customFormat="1">
      <c r="A120" s="4"/>
      <c r="B120" s="4"/>
      <c r="C120" s="4"/>
      <c r="D120" s="4"/>
      <c r="E120" s="4"/>
      <c r="F120" s="4"/>
      <c r="G120" s="4"/>
      <c r="H120" s="4"/>
      <c r="I120" s="4"/>
      <c r="J120" s="4"/>
      <c r="K120" s="4"/>
      <c r="L120" s="4"/>
      <c r="M120" s="4"/>
      <c r="N120" s="4"/>
      <c r="O120" s="4"/>
      <c r="P120" s="4"/>
      <c r="Q120" s="4"/>
      <c r="R120" s="4"/>
    </row>
    <row r="121" spans="1:18" s="26" customFormat="1">
      <c r="A121" s="4"/>
      <c r="B121" s="4"/>
      <c r="C121" s="4"/>
      <c r="D121" s="4"/>
      <c r="E121" s="4"/>
      <c r="F121" s="4"/>
      <c r="G121" s="4"/>
      <c r="H121" s="4"/>
      <c r="I121" s="4"/>
      <c r="J121" s="4"/>
      <c r="K121" s="4"/>
      <c r="L121" s="4"/>
      <c r="M121" s="4"/>
      <c r="N121" s="4"/>
      <c r="O121" s="4"/>
      <c r="P121" s="4"/>
      <c r="Q121" s="4"/>
      <c r="R121" s="4"/>
    </row>
    <row r="122" spans="1:18" s="26" customFormat="1">
      <c r="A122" s="4"/>
      <c r="B122" s="4"/>
      <c r="C122" s="4"/>
      <c r="D122" s="4"/>
      <c r="E122" s="4"/>
      <c r="F122" s="4"/>
      <c r="G122" s="4"/>
      <c r="H122" s="4"/>
      <c r="I122" s="4"/>
      <c r="J122" s="4"/>
      <c r="K122" s="4"/>
      <c r="L122" s="4"/>
      <c r="M122" s="4"/>
      <c r="N122" s="4"/>
      <c r="O122" s="4"/>
      <c r="P122" s="4"/>
      <c r="Q122" s="4"/>
      <c r="R122" s="4"/>
    </row>
    <row r="123" spans="1:18" s="26" customFormat="1">
      <c r="A123" s="4"/>
      <c r="B123" s="4"/>
      <c r="C123" s="4"/>
      <c r="D123" s="4"/>
      <c r="E123" s="4"/>
      <c r="F123" s="4"/>
      <c r="G123" s="4"/>
      <c r="H123" s="4"/>
      <c r="I123" s="4"/>
      <c r="J123" s="4"/>
      <c r="K123" s="4"/>
      <c r="L123" s="4"/>
      <c r="M123" s="4"/>
      <c r="N123" s="4"/>
      <c r="O123" s="4"/>
      <c r="P123" s="4"/>
      <c r="Q123" s="4"/>
      <c r="R123" s="4"/>
    </row>
    <row r="124" spans="1:18" s="26" customFormat="1">
      <c r="A124" s="4"/>
      <c r="B124" s="4"/>
      <c r="C124" s="4"/>
      <c r="D124" s="4"/>
      <c r="E124" s="4"/>
      <c r="F124" s="4"/>
      <c r="G124" s="4"/>
      <c r="H124" s="4"/>
      <c r="I124" s="4"/>
      <c r="J124" s="4"/>
      <c r="K124" s="4"/>
      <c r="L124" s="4"/>
      <c r="M124" s="4"/>
      <c r="N124" s="4"/>
      <c r="O124" s="4"/>
      <c r="P124" s="4"/>
      <c r="Q124" s="4"/>
      <c r="R124" s="4"/>
    </row>
    <row r="125" spans="1:18" s="26" customFormat="1">
      <c r="A125" s="4"/>
      <c r="B125" s="4"/>
      <c r="C125" s="4"/>
      <c r="D125" s="4"/>
      <c r="E125" s="4"/>
      <c r="F125" s="4"/>
      <c r="G125" s="4"/>
      <c r="H125" s="4"/>
      <c r="I125" s="4"/>
      <c r="J125" s="4"/>
      <c r="K125" s="4"/>
      <c r="L125" s="4"/>
      <c r="M125" s="4"/>
      <c r="N125" s="4"/>
      <c r="O125" s="4"/>
      <c r="P125" s="4"/>
      <c r="Q125" s="4"/>
      <c r="R125" s="4"/>
    </row>
    <row r="126" spans="1:18" s="26" customFormat="1">
      <c r="A126" s="4"/>
      <c r="B126" s="4"/>
      <c r="C126" s="4"/>
      <c r="D126" s="4"/>
      <c r="E126" s="4"/>
      <c r="F126" s="4"/>
      <c r="G126" s="4"/>
      <c r="H126" s="4"/>
      <c r="I126" s="4"/>
      <c r="J126" s="4"/>
      <c r="K126" s="4"/>
      <c r="L126" s="4"/>
      <c r="M126" s="4"/>
      <c r="N126" s="4"/>
      <c r="O126" s="4"/>
      <c r="P126" s="4"/>
      <c r="Q126" s="4"/>
      <c r="R126" s="4"/>
    </row>
    <row r="127" spans="1:18" s="26" customFormat="1">
      <c r="A127" s="4"/>
      <c r="B127" s="4"/>
      <c r="C127" s="4"/>
      <c r="D127" s="4"/>
      <c r="E127" s="4"/>
      <c r="F127" s="4"/>
      <c r="G127" s="4"/>
      <c r="H127" s="4"/>
      <c r="I127" s="4"/>
      <c r="J127" s="4"/>
      <c r="K127" s="4"/>
      <c r="L127" s="4"/>
      <c r="M127" s="4"/>
      <c r="N127" s="4"/>
      <c r="O127" s="4"/>
      <c r="P127" s="4"/>
      <c r="Q127" s="4"/>
      <c r="R127" s="4"/>
    </row>
    <row r="128" spans="1:18" s="26" customFormat="1">
      <c r="A128" s="4"/>
      <c r="B128" s="4"/>
      <c r="C128" s="4"/>
      <c r="D128" s="4"/>
      <c r="E128" s="4"/>
      <c r="F128" s="4"/>
      <c r="G128" s="4"/>
      <c r="H128" s="4"/>
      <c r="I128" s="4"/>
      <c r="J128" s="4"/>
      <c r="K128" s="4"/>
      <c r="L128" s="4"/>
      <c r="M128" s="4"/>
      <c r="N128" s="4"/>
      <c r="O128" s="4"/>
      <c r="P128" s="4"/>
      <c r="Q128" s="4"/>
      <c r="R128" s="4"/>
    </row>
    <row r="129" spans="1:18" s="26" customFormat="1">
      <c r="A129" s="4"/>
      <c r="B129" s="4"/>
      <c r="C129" s="4"/>
      <c r="D129" s="4"/>
      <c r="E129" s="4"/>
      <c r="F129" s="4"/>
      <c r="G129" s="4"/>
      <c r="H129" s="4"/>
      <c r="I129" s="4"/>
      <c r="J129" s="4"/>
      <c r="K129" s="4"/>
      <c r="L129" s="4"/>
      <c r="M129" s="4"/>
      <c r="N129" s="4"/>
      <c r="O129" s="4"/>
      <c r="P129" s="4"/>
      <c r="Q129" s="4"/>
      <c r="R129" s="4"/>
    </row>
    <row r="130" spans="1:18" s="26" customFormat="1">
      <c r="A130" s="4"/>
      <c r="B130" s="4"/>
      <c r="C130" s="4"/>
      <c r="D130" s="4"/>
      <c r="E130" s="4"/>
      <c r="F130" s="4"/>
      <c r="G130" s="4"/>
      <c r="H130" s="4"/>
      <c r="I130" s="4"/>
      <c r="J130" s="4"/>
      <c r="K130" s="4"/>
      <c r="L130" s="4"/>
      <c r="M130" s="4"/>
      <c r="N130" s="4"/>
      <c r="O130" s="4"/>
      <c r="P130" s="4"/>
      <c r="Q130" s="4"/>
      <c r="R130" s="4"/>
    </row>
    <row r="131" spans="1:18" s="26" customFormat="1">
      <c r="A131" s="4"/>
      <c r="B131" s="4"/>
      <c r="C131" s="4"/>
      <c r="D131" s="4"/>
      <c r="E131" s="4"/>
      <c r="F131" s="4"/>
      <c r="G131" s="4"/>
      <c r="H131" s="4"/>
      <c r="I131" s="4"/>
      <c r="J131" s="4"/>
      <c r="K131" s="4"/>
      <c r="L131" s="4"/>
      <c r="M131" s="4"/>
      <c r="N131" s="4"/>
      <c r="O131" s="4"/>
      <c r="P131" s="4"/>
      <c r="Q131" s="4"/>
      <c r="R131" s="4"/>
    </row>
    <row r="132" spans="1:18" s="26" customFormat="1">
      <c r="A132" s="4"/>
      <c r="B132" s="4"/>
      <c r="C132" s="4"/>
      <c r="D132" s="4"/>
      <c r="E132" s="4"/>
      <c r="F132" s="4"/>
      <c r="G132" s="4"/>
      <c r="H132" s="4"/>
      <c r="I132" s="4"/>
      <c r="J132" s="4"/>
      <c r="K132" s="4"/>
      <c r="L132" s="4"/>
      <c r="M132" s="4"/>
      <c r="N132" s="4"/>
      <c r="O132" s="4"/>
      <c r="P132" s="4"/>
      <c r="Q132" s="4"/>
      <c r="R132" s="4"/>
    </row>
    <row r="133" spans="1:18" s="26" customFormat="1">
      <c r="A133" s="4"/>
      <c r="B133" s="4"/>
      <c r="C133" s="4"/>
      <c r="D133" s="4"/>
      <c r="E133" s="4"/>
      <c r="F133" s="4"/>
      <c r="G133" s="4"/>
      <c r="H133" s="4"/>
      <c r="I133" s="4"/>
      <c r="J133" s="4"/>
      <c r="K133" s="4"/>
      <c r="L133" s="4"/>
      <c r="M133" s="4"/>
      <c r="N133" s="4"/>
      <c r="O133" s="4"/>
      <c r="P133" s="4"/>
      <c r="Q133" s="4"/>
      <c r="R133" s="4"/>
    </row>
    <row r="134" spans="1:18" s="26" customFormat="1">
      <c r="A134" s="4"/>
      <c r="B134" s="4"/>
      <c r="C134" s="4"/>
      <c r="D134" s="4"/>
      <c r="E134" s="4"/>
      <c r="F134" s="4"/>
      <c r="G134" s="4"/>
      <c r="H134" s="4"/>
      <c r="I134" s="4"/>
      <c r="J134" s="4"/>
      <c r="K134" s="4"/>
      <c r="L134" s="4"/>
      <c r="M134" s="4"/>
      <c r="N134" s="4"/>
      <c r="O134" s="4"/>
      <c r="P134" s="4"/>
      <c r="Q134" s="4"/>
      <c r="R134" s="4"/>
    </row>
    <row r="135" spans="1:18" s="26" customFormat="1">
      <c r="A135" s="4"/>
      <c r="B135" s="4"/>
      <c r="C135" s="4"/>
      <c r="D135" s="4"/>
      <c r="E135" s="4"/>
      <c r="F135" s="4"/>
      <c r="G135" s="4"/>
      <c r="H135" s="4"/>
      <c r="I135" s="4"/>
      <c r="J135" s="4"/>
      <c r="K135" s="4"/>
      <c r="L135" s="4"/>
      <c r="M135" s="4"/>
      <c r="N135" s="4"/>
      <c r="O135" s="4"/>
      <c r="P135" s="4"/>
      <c r="Q135" s="4"/>
      <c r="R135" s="4"/>
    </row>
    <row r="136" spans="1:18" s="26" customFormat="1">
      <c r="A136" s="4"/>
      <c r="B136" s="4"/>
      <c r="C136" s="4"/>
      <c r="D136" s="4"/>
      <c r="E136" s="4"/>
      <c r="F136" s="4"/>
      <c r="G136" s="4"/>
      <c r="H136" s="4"/>
      <c r="I136" s="4"/>
      <c r="J136" s="4"/>
      <c r="K136" s="4"/>
      <c r="L136" s="4"/>
      <c r="M136" s="4"/>
      <c r="N136" s="4"/>
      <c r="O136" s="4"/>
      <c r="P136" s="4"/>
      <c r="Q136" s="4"/>
      <c r="R136" s="4"/>
    </row>
    <row r="137" spans="1:18" s="26" customFormat="1">
      <c r="A137" s="4"/>
      <c r="B137" s="4"/>
      <c r="C137" s="4"/>
      <c r="D137" s="4"/>
      <c r="E137" s="4"/>
      <c r="F137" s="4"/>
      <c r="G137" s="4"/>
      <c r="H137" s="4"/>
      <c r="I137" s="4"/>
      <c r="J137" s="4"/>
      <c r="K137" s="4"/>
      <c r="L137" s="4"/>
      <c r="M137" s="4"/>
      <c r="N137" s="4"/>
      <c r="O137" s="4"/>
      <c r="P137" s="4"/>
      <c r="Q137" s="4"/>
      <c r="R137" s="4"/>
    </row>
    <row r="138" spans="1:18" s="26" customFormat="1">
      <c r="A138" s="4"/>
      <c r="B138" s="4"/>
      <c r="C138" s="4"/>
      <c r="D138" s="4"/>
      <c r="E138" s="4"/>
      <c r="F138" s="4"/>
      <c r="G138" s="4"/>
      <c r="H138" s="4"/>
      <c r="I138" s="4"/>
      <c r="J138" s="4"/>
      <c r="K138" s="4"/>
      <c r="L138" s="4"/>
      <c r="M138" s="4"/>
      <c r="N138" s="4"/>
      <c r="O138" s="4"/>
      <c r="P138" s="4"/>
      <c r="Q138" s="4"/>
      <c r="R138" s="4"/>
    </row>
    <row r="139" spans="1:18" s="26" customFormat="1">
      <c r="A139" s="4"/>
      <c r="B139" s="4"/>
      <c r="C139" s="4"/>
      <c r="D139" s="4"/>
      <c r="E139" s="4"/>
      <c r="F139" s="4"/>
      <c r="G139" s="4"/>
      <c r="H139" s="4"/>
      <c r="I139" s="4"/>
      <c r="J139" s="4"/>
      <c r="K139" s="4"/>
      <c r="L139" s="4"/>
      <c r="M139" s="4"/>
      <c r="N139" s="4"/>
      <c r="O139" s="4"/>
      <c r="P139" s="4"/>
      <c r="Q139" s="4"/>
      <c r="R139" s="4"/>
    </row>
    <row r="140" spans="1:18" s="26" customFormat="1">
      <c r="A140" s="4"/>
      <c r="B140" s="4"/>
      <c r="C140" s="4"/>
      <c r="D140" s="4"/>
      <c r="E140" s="4"/>
      <c r="F140" s="4"/>
      <c r="G140" s="4"/>
      <c r="H140" s="4"/>
      <c r="I140" s="4"/>
      <c r="J140" s="4"/>
      <c r="K140" s="4"/>
      <c r="L140" s="4"/>
      <c r="M140" s="4"/>
      <c r="N140" s="4"/>
      <c r="O140" s="4"/>
      <c r="P140" s="4"/>
      <c r="Q140" s="4"/>
      <c r="R140" s="4"/>
    </row>
    <row r="141" spans="1:18" s="26" customFormat="1">
      <c r="A141" s="4"/>
      <c r="B141" s="4"/>
      <c r="C141" s="4"/>
      <c r="D141" s="4"/>
      <c r="E141" s="4"/>
      <c r="F141" s="4"/>
      <c r="G141" s="4"/>
      <c r="H141" s="4"/>
      <c r="I141" s="4"/>
      <c r="J141" s="4"/>
      <c r="K141" s="4"/>
      <c r="L141" s="4"/>
      <c r="M141" s="4"/>
      <c r="N141" s="4"/>
      <c r="O141" s="4"/>
      <c r="P141" s="4"/>
      <c r="Q141" s="4"/>
      <c r="R141" s="4"/>
    </row>
    <row r="142" spans="1:18" s="26" customFormat="1">
      <c r="A142" s="4"/>
      <c r="B142" s="4"/>
      <c r="C142" s="4"/>
      <c r="D142" s="4"/>
      <c r="E142" s="4"/>
      <c r="F142" s="4"/>
      <c r="G142" s="4"/>
      <c r="H142" s="4"/>
      <c r="I142" s="4"/>
      <c r="J142" s="4"/>
      <c r="K142" s="4"/>
      <c r="L142" s="4"/>
      <c r="M142" s="4"/>
      <c r="N142" s="4"/>
      <c r="O142" s="4"/>
      <c r="P142" s="4"/>
      <c r="Q142" s="4"/>
      <c r="R142" s="4"/>
    </row>
    <row r="143" spans="1:18" s="26" customFormat="1">
      <c r="A143" s="4"/>
      <c r="B143" s="4"/>
      <c r="C143" s="4"/>
      <c r="D143" s="4"/>
      <c r="E143" s="4"/>
      <c r="F143" s="4"/>
      <c r="G143" s="4"/>
      <c r="H143" s="4"/>
      <c r="I143" s="4"/>
      <c r="J143" s="4"/>
      <c r="K143" s="4"/>
      <c r="L143" s="4"/>
      <c r="M143" s="4"/>
      <c r="N143" s="4"/>
      <c r="O143" s="4"/>
      <c r="P143" s="4"/>
      <c r="Q143" s="4"/>
      <c r="R143" s="4"/>
    </row>
    <row r="144" spans="1:18" s="26" customFormat="1">
      <c r="A144" s="4"/>
      <c r="B144" s="4"/>
      <c r="C144" s="4"/>
      <c r="D144" s="4"/>
      <c r="E144" s="4"/>
      <c r="F144" s="4"/>
      <c r="G144" s="4"/>
      <c r="H144" s="4"/>
      <c r="I144" s="4"/>
      <c r="J144" s="4"/>
      <c r="K144" s="4"/>
      <c r="L144" s="4"/>
      <c r="M144" s="4"/>
      <c r="N144" s="4"/>
      <c r="O144" s="4"/>
      <c r="P144" s="4"/>
      <c r="Q144" s="4"/>
      <c r="R144" s="4"/>
    </row>
    <row r="145" spans="1:18" s="26" customFormat="1">
      <c r="A145" s="4"/>
      <c r="B145" s="4"/>
      <c r="C145" s="4"/>
      <c r="D145" s="4"/>
      <c r="E145" s="4"/>
      <c r="F145" s="4"/>
      <c r="G145" s="4"/>
      <c r="H145" s="4"/>
      <c r="I145" s="4"/>
      <c r="J145" s="4"/>
      <c r="K145" s="4"/>
      <c r="L145" s="4"/>
      <c r="M145" s="4"/>
      <c r="N145" s="4"/>
      <c r="O145" s="4"/>
      <c r="P145" s="4"/>
      <c r="Q145" s="4"/>
      <c r="R145" s="4"/>
    </row>
    <row r="146" spans="1:18" s="26" customFormat="1">
      <c r="A146" s="4"/>
      <c r="B146" s="4"/>
      <c r="C146" s="4"/>
      <c r="D146" s="4"/>
      <c r="E146" s="4"/>
      <c r="F146" s="4"/>
      <c r="G146" s="4"/>
      <c r="H146" s="4"/>
      <c r="I146" s="4"/>
      <c r="J146" s="4"/>
      <c r="K146" s="4"/>
      <c r="L146" s="4"/>
      <c r="M146" s="4"/>
      <c r="N146" s="4"/>
      <c r="O146" s="4"/>
      <c r="P146" s="4"/>
      <c r="Q146" s="4"/>
      <c r="R146" s="4"/>
    </row>
    <row r="147" spans="1:18" s="26" customFormat="1">
      <c r="A147" s="4"/>
      <c r="B147" s="4"/>
      <c r="C147" s="4"/>
      <c r="D147" s="4"/>
      <c r="E147" s="4"/>
      <c r="F147" s="4"/>
      <c r="G147" s="4"/>
      <c r="H147" s="4"/>
      <c r="I147" s="4"/>
      <c r="J147" s="4"/>
      <c r="K147" s="4"/>
      <c r="L147" s="4"/>
      <c r="M147" s="4"/>
      <c r="N147" s="4"/>
      <c r="O147" s="4"/>
      <c r="P147" s="4"/>
      <c r="Q147" s="4"/>
      <c r="R147" s="4"/>
    </row>
    <row r="148" spans="1:18">
      <c r="A148" s="4"/>
      <c r="B148" s="4"/>
      <c r="C148" s="4"/>
      <c r="D148" s="4"/>
      <c r="E148" s="4"/>
      <c r="F148" s="4"/>
      <c r="G148" s="4"/>
      <c r="H148" s="4"/>
      <c r="I148" s="4"/>
      <c r="J148" s="4"/>
      <c r="K148" s="4"/>
    </row>
    <row r="149" spans="1:18">
      <c r="A149" s="4"/>
      <c r="B149" s="4"/>
      <c r="C149" s="4"/>
      <c r="D149" s="4"/>
      <c r="E149" s="4"/>
      <c r="F149" s="4"/>
      <c r="G149" s="4"/>
      <c r="H149" s="4"/>
      <c r="I149" s="4"/>
      <c r="J149" s="4"/>
      <c r="K149" s="4"/>
    </row>
    <row r="150" spans="1:18">
      <c r="A150" s="4"/>
      <c r="B150" s="4"/>
      <c r="C150" s="4"/>
      <c r="D150" s="4"/>
      <c r="E150" s="4"/>
      <c r="F150" s="4"/>
      <c r="G150" s="4"/>
      <c r="H150" s="4"/>
      <c r="I150" s="4"/>
      <c r="J150" s="4"/>
      <c r="K150" s="4"/>
    </row>
    <row r="151" spans="1:18">
      <c r="A151" s="4"/>
      <c r="B151" s="4"/>
      <c r="C151" s="4"/>
      <c r="D151" s="4"/>
      <c r="E151" s="4"/>
      <c r="F151" s="4"/>
      <c r="G151" s="4"/>
      <c r="H151" s="4"/>
      <c r="I151" s="4"/>
      <c r="J151" s="4"/>
      <c r="K151" s="4"/>
    </row>
    <row r="152" spans="1:18">
      <c r="A152" s="4"/>
      <c r="B152" s="4"/>
      <c r="C152" s="4"/>
      <c r="D152" s="4"/>
      <c r="E152" s="4"/>
      <c r="F152" s="4"/>
      <c r="G152" s="4"/>
      <c r="H152" s="4"/>
      <c r="I152" s="4"/>
      <c r="J152" s="4"/>
      <c r="K152" s="4"/>
    </row>
    <row r="153" spans="1:18">
      <c r="A153" s="4"/>
      <c r="B153" s="4"/>
      <c r="C153" s="4"/>
      <c r="D153" s="4"/>
      <c r="E153" s="4"/>
      <c r="F153" s="4"/>
      <c r="G153" s="4"/>
      <c r="H153" s="4"/>
      <c r="I153" s="4"/>
      <c r="J153" s="4"/>
      <c r="K153" s="4"/>
    </row>
  </sheetData>
  <hyperlinks>
    <hyperlink ref="D2" r:id="rId1" xr:uid="{C3B37BE6-66EC-4110-B6C4-CBFDB7FEFFB6}"/>
    <hyperlink ref="L2" r:id="rId2" xr:uid="{9B6C17E2-6194-4CA7-8BCF-70883FD4CB45}"/>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1828D-7D85-4B9E-ACBE-B649DB371993}">
  <sheetPr>
    <tabColor theme="0" tint="-0.249977111117893"/>
  </sheetPr>
  <dimension ref="A1:DA152"/>
  <sheetViews>
    <sheetView workbookViewId="0">
      <pane xSplit="2" ySplit="1" topLeftCell="BL2" activePane="bottomRight" state="frozen"/>
      <selection pane="bottomRight" activeCell="BS3" sqref="BS3"/>
      <selection pane="bottomLeft" activeCell="A2" sqref="A2"/>
      <selection pane="topRight" activeCell="C1" sqref="C1"/>
    </sheetView>
  </sheetViews>
  <sheetFormatPr defaultColWidth="11" defaultRowHeight="14.25"/>
  <cols>
    <col min="1" max="1" width="7.42578125" style="1" customWidth="1"/>
    <col min="2" max="2" width="15.42578125" style="1" customWidth="1"/>
    <col min="3" max="3" width="13.42578125" style="1" customWidth="1"/>
    <col min="4" max="4" width="12.42578125" style="1" bestFit="1" customWidth="1"/>
    <col min="5" max="5" width="21.5703125" style="4" customWidth="1"/>
    <col min="6" max="29" width="26" style="4" customWidth="1"/>
    <col min="30" max="30" width="21.5703125" style="4" customWidth="1"/>
    <col min="31" max="61" width="26" style="4" customWidth="1"/>
    <col min="62" max="62" width="24.85546875" style="4" customWidth="1"/>
    <col min="63" max="63" width="24.42578125" style="4" customWidth="1"/>
    <col min="64" max="79" width="26" style="4" customWidth="1"/>
    <col min="80" max="80" width="18.140625" style="26" customWidth="1"/>
    <col min="81" max="81" width="16.85546875" style="26" customWidth="1"/>
    <col min="82" max="105" width="11" style="26"/>
  </cols>
  <sheetData>
    <row r="1" spans="1:81" ht="38.85">
      <c r="A1" s="5" t="s">
        <v>278</v>
      </c>
      <c r="B1" s="6" t="s">
        <v>279</v>
      </c>
      <c r="C1" s="6" t="s">
        <v>280</v>
      </c>
      <c r="D1" s="6" t="s">
        <v>281</v>
      </c>
      <c r="E1" s="184" t="s">
        <v>910</v>
      </c>
      <c r="F1" s="61" t="s">
        <v>911</v>
      </c>
      <c r="G1" s="61" t="s">
        <v>912</v>
      </c>
      <c r="H1" s="61" t="s">
        <v>913</v>
      </c>
      <c r="I1" s="61" t="s">
        <v>914</v>
      </c>
      <c r="J1" s="245" t="s">
        <v>915</v>
      </c>
      <c r="K1" s="61" t="s">
        <v>916</v>
      </c>
      <c r="L1" s="61" t="s">
        <v>917</v>
      </c>
      <c r="M1" s="246" t="s">
        <v>918</v>
      </c>
      <c r="N1" s="61" t="s">
        <v>919</v>
      </c>
      <c r="O1" s="245" t="s">
        <v>920</v>
      </c>
      <c r="P1" s="246" t="s">
        <v>921</v>
      </c>
      <c r="Q1" s="246" t="s">
        <v>922</v>
      </c>
      <c r="R1" s="246" t="s">
        <v>923</v>
      </c>
      <c r="S1" s="61" t="s">
        <v>924</v>
      </c>
      <c r="T1" s="245" t="s">
        <v>925</v>
      </c>
      <c r="U1" s="246" t="s">
        <v>926</v>
      </c>
      <c r="V1" s="246" t="s">
        <v>927</v>
      </c>
      <c r="W1" s="246" t="s">
        <v>928</v>
      </c>
      <c r="X1" s="61" t="s">
        <v>929</v>
      </c>
      <c r="Y1" s="245" t="s">
        <v>930</v>
      </c>
      <c r="Z1" s="246" t="s">
        <v>931</v>
      </c>
      <c r="AA1" s="246" t="s">
        <v>932</v>
      </c>
      <c r="AB1" s="246" t="s">
        <v>933</v>
      </c>
      <c r="AC1" s="61" t="s">
        <v>934</v>
      </c>
      <c r="AD1" s="184" t="s">
        <v>935</v>
      </c>
      <c r="AE1" s="61" t="s">
        <v>936</v>
      </c>
      <c r="AF1" s="61" t="s">
        <v>937</v>
      </c>
      <c r="AG1" s="61" t="s">
        <v>938</v>
      </c>
      <c r="AH1" s="239" t="s">
        <v>939</v>
      </c>
      <c r="AI1" s="245" t="s">
        <v>940</v>
      </c>
      <c r="AJ1" s="246" t="s">
        <v>941</v>
      </c>
      <c r="AK1" s="246" t="s">
        <v>942</v>
      </c>
      <c r="AL1" s="246" t="s">
        <v>943</v>
      </c>
      <c r="AM1" s="239" t="s">
        <v>944</v>
      </c>
      <c r="AN1" s="245" t="s">
        <v>945</v>
      </c>
      <c r="AO1" s="246" t="s">
        <v>946</v>
      </c>
      <c r="AP1" s="246" t="s">
        <v>947</v>
      </c>
      <c r="AQ1" s="246" t="s">
        <v>948</v>
      </c>
      <c r="AR1" s="239" t="s">
        <v>949</v>
      </c>
      <c r="AS1" s="245" t="s">
        <v>950</v>
      </c>
      <c r="AT1" s="246" t="s">
        <v>951</v>
      </c>
      <c r="AU1" s="246" t="s">
        <v>952</v>
      </c>
      <c r="AV1" s="246" t="s">
        <v>953</v>
      </c>
      <c r="AW1" s="239" t="s">
        <v>954</v>
      </c>
      <c r="AX1" s="245" t="s">
        <v>955</v>
      </c>
      <c r="AY1" s="246" t="s">
        <v>956</v>
      </c>
      <c r="AZ1" s="246" t="s">
        <v>957</v>
      </c>
      <c r="BA1" s="246" t="s">
        <v>958</v>
      </c>
      <c r="BB1" s="246" t="s">
        <v>959</v>
      </c>
      <c r="BC1" s="61" t="s">
        <v>960</v>
      </c>
      <c r="BD1" s="61" t="s">
        <v>961</v>
      </c>
      <c r="BE1" s="61" t="s">
        <v>962</v>
      </c>
      <c r="BF1" s="61" t="s">
        <v>963</v>
      </c>
      <c r="BG1" s="61" t="s">
        <v>964</v>
      </c>
      <c r="BH1" s="61" t="s">
        <v>965</v>
      </c>
      <c r="BI1" s="177" t="s">
        <v>966</v>
      </c>
      <c r="BJ1" s="245" t="s">
        <v>967</v>
      </c>
      <c r="BK1" s="239" t="s">
        <v>968</v>
      </c>
      <c r="BL1" s="245" t="s">
        <v>969</v>
      </c>
      <c r="BM1" s="239" t="s">
        <v>970</v>
      </c>
      <c r="BN1" s="245" t="s">
        <v>971</v>
      </c>
      <c r="BO1" s="239" t="s">
        <v>972</v>
      </c>
      <c r="BP1" s="245" t="s">
        <v>973</v>
      </c>
      <c r="BQ1" s="239" t="s">
        <v>974</v>
      </c>
      <c r="BR1" s="61" t="s">
        <v>975</v>
      </c>
      <c r="BS1" s="177" t="s">
        <v>976</v>
      </c>
      <c r="BT1" s="61" t="s">
        <v>977</v>
      </c>
      <c r="BU1" s="177" t="s">
        <v>978</v>
      </c>
      <c r="BV1" s="61" t="s">
        <v>979</v>
      </c>
      <c r="BW1" s="61" t="s">
        <v>980</v>
      </c>
      <c r="BX1" s="184" t="s">
        <v>981</v>
      </c>
      <c r="BY1" s="177" t="s">
        <v>982</v>
      </c>
      <c r="BZ1" s="61" t="s">
        <v>983</v>
      </c>
      <c r="CA1" s="177" t="s">
        <v>984</v>
      </c>
      <c r="CB1" s="246" t="s">
        <v>985</v>
      </c>
      <c r="CC1" s="239" t="s">
        <v>986</v>
      </c>
    </row>
    <row r="2" spans="1:81">
      <c r="A2" s="9">
        <v>1</v>
      </c>
      <c r="B2" s="1" t="s">
        <v>304</v>
      </c>
      <c r="C2" s="1" t="s">
        <v>305</v>
      </c>
      <c r="D2" s="1">
        <v>0</v>
      </c>
      <c r="E2" s="191">
        <f>'Supply calc &gt;&gt;&gt;'!E2*'Farms proportions'!$AK3</f>
        <v>48447897.320884131</v>
      </c>
      <c r="F2" s="118">
        <f>E2/'National data'!$S4/'Assumptions data'!$AA3</f>
        <v>922.8170918263645</v>
      </c>
      <c r="G2" s="240">
        <f>'Supply calc &gt;&gt;&gt;'!E2*'Farms proportions'!$AL3</f>
        <v>76404615.98496896</v>
      </c>
      <c r="H2" s="118">
        <f>G2/'National data'!$T4/'Assumptions data'!$AA3</f>
        <v>377.30674560478502</v>
      </c>
      <c r="I2" s="118">
        <f>F2*'National data'!$V4+H2*'National data'!$X3</f>
        <v>524826.12008144264</v>
      </c>
      <c r="J2" s="242">
        <f>'Supply calc &gt;&gt;&gt;'!G2*'Farms proportions'!$AK3</f>
        <v>10553115.321707666</v>
      </c>
      <c r="K2" s="234">
        <f>J2/'National data'!$S4/'Assumptions data'!$AA3</f>
        <v>201.01172041347934</v>
      </c>
      <c r="L2" s="230">
        <f>'Supply calc &gt;&gt;&gt;'!G2*'Farms proportions'!$AL3</f>
        <v>16642759.917107832</v>
      </c>
      <c r="M2" s="118">
        <f>L2/'National data'!$T4/'Assumptions data'!$AA3</f>
        <v>82.186468726458429</v>
      </c>
      <c r="N2" s="118">
        <f>K2*'National data'!$V4+M2*'National data'!$X3</f>
        <v>114319.73058356839</v>
      </c>
      <c r="O2" s="242">
        <f>'Supply calc &gt;&gt;&gt;'!I2*'Farms proportions'!$AK3</f>
        <v>8607798.7333839517</v>
      </c>
      <c r="P2" s="234">
        <f>O2/'National data'!$S4/'Assumptions data'!$AA3</f>
        <v>163.95807111207529</v>
      </c>
      <c r="Q2" s="230">
        <f>'Supply calc &gt;&gt;&gt;'!I2*'Farms proportions'!$AL3</f>
        <v>13574904.032349057</v>
      </c>
      <c r="R2" s="118">
        <f>Q2/'National data'!$T4/'Assumptions data'!$AA3</f>
        <v>67.036563122711399</v>
      </c>
      <c r="S2" s="118">
        <f>P2*'National data'!$V4+R2*'National data'!$X3</f>
        <v>93246.515566249</v>
      </c>
      <c r="T2" s="242">
        <f>'Supply calc &gt;&gt;&gt;'!K2*'Farms proportions'!$AK3</f>
        <v>25128898.942875031</v>
      </c>
      <c r="U2" s="234">
        <f>T2/'National data'!$S4/'Assumptions data'!$AA3</f>
        <v>478.64569415000062</v>
      </c>
      <c r="V2" s="230">
        <f>'Supply calc &gt;&gt;&gt;'!K2*'Farms proportions'!$AL3</f>
        <v>39629457.21130053</v>
      </c>
      <c r="W2" s="118">
        <f>V2/'National data'!$T4/'Assumptions data'!$AA3</f>
        <v>195.70102326568164</v>
      </c>
      <c r="X2" s="118">
        <f>U2*'National data'!$V4+W2*'National data'!$X3</f>
        <v>272216.20056610322</v>
      </c>
      <c r="Y2" s="242">
        <f>'Supply calc &gt;&gt;&gt;'!M2*'Farms proportions'!$AK3</f>
        <v>707385.00644841872</v>
      </c>
      <c r="Z2" s="234">
        <f>Y2/'National data'!$S4/'Assumptions data'!$AA3</f>
        <v>13.474000122827023</v>
      </c>
      <c r="AA2" s="230">
        <f>'Supply calc &gt;&gt;&gt;'!M2*'Farms proportions'!$AL3</f>
        <v>1115579.4732069478</v>
      </c>
      <c r="AB2" s="118">
        <f>AA2/'National data'!$T4/'Assumptions data'!$AA3</f>
        <v>5.5090344355898662</v>
      </c>
      <c r="AC2" s="118">
        <f>Z2*'National data'!$V4+AB2*'National data'!$X3</f>
        <v>7662.9564721702718</v>
      </c>
      <c r="AD2" s="191">
        <f>'Supply calc &gt;&gt;&gt;'!O2*'Farms proportions'!$AK3</f>
        <v>16609287.722745884</v>
      </c>
      <c r="AE2" s="118">
        <f>AD2/'National data'!$S4/'Assumptions data'!$AA3</f>
        <v>316.36738519515967</v>
      </c>
      <c r="AF2" s="240">
        <f>'Supply calc &gt;&gt;&gt;'!O2*'Farms proportions'!$AL3</f>
        <v>26193629.041011605</v>
      </c>
      <c r="AG2" s="118">
        <f>AF2/'National data'!$T4/'Assumptions data'!$AA3</f>
        <v>129.35125452351411</v>
      </c>
      <c r="AH2" s="178">
        <f>AE2*'National data'!$V3+AG2*'National data'!$X3</f>
        <v>179925.00221650454</v>
      </c>
      <c r="AI2" s="191">
        <f>'Supply calc &gt;&gt;&gt;'!Q2*'Farms proportions'!$AK3</f>
        <v>9600559.1536329929</v>
      </c>
      <c r="AJ2" s="118">
        <f>AI2/'National data'!$S4/'Assumptions data'!$AA3</f>
        <v>182.86779340253321</v>
      </c>
      <c r="AK2" s="240">
        <f>'Supply calc &gt;&gt;&gt;'!Q2*'Farms proportions'!$AL3</f>
        <v>15140533.97438387</v>
      </c>
      <c r="AL2" s="118">
        <f>AK2/'National data'!$T4/'Assumptions data'!$AA3</f>
        <v>74.768069009303062</v>
      </c>
      <c r="AM2" s="178">
        <f>AJ2*'National data'!$V3+AL2*'National data'!$X3</f>
        <v>104000.8852776695</v>
      </c>
      <c r="AN2" s="191">
        <f>'Supply calc &gt;&gt;&gt;'!S2*'Farms proportions'!$AK3</f>
        <v>4517892.0623260867</v>
      </c>
      <c r="AO2" s="118">
        <f>AN2/'National data'!$S4/'Assumptions data'!$AA3</f>
        <v>86.055086901449272</v>
      </c>
      <c r="AP2" s="240">
        <f>'Supply calc &gt;&gt;&gt;'!S2*'Farms proportions'!$AL3</f>
        <v>7124928.5763071952</v>
      </c>
      <c r="AQ2" s="118">
        <f>AP2/'National data'!$T4/'Assumptions data'!$AA3</f>
        <v>35.184832475591094</v>
      </c>
      <c r="AR2" s="178">
        <f>AO2*'National data'!$V3+AQ2*'National data'!$X3</f>
        <v>48941.396699073026</v>
      </c>
      <c r="AS2" s="191">
        <f>'Supply calc &gt;&gt;&gt;'!U2*'Farms proportions'!$AK3</f>
        <v>3851107.7685090206</v>
      </c>
      <c r="AT2" s="118">
        <f>AS2/'National data'!$S4/'Assumptions data'!$AA3</f>
        <v>73.354433685886107</v>
      </c>
      <c r="AU2" s="240">
        <f>'Supply calc &gt;&gt;&gt;'!U2*'Farms proportions'!$AL3</f>
        <v>6073378.3392251618</v>
      </c>
      <c r="AV2" s="118">
        <f>AU2/'National data'!$T4/'Assumptions data'!$AA3</f>
        <v>29.991991798642772</v>
      </c>
      <c r="AW2" s="178">
        <f>AT2*'National data'!$V3+AV2*'National data'!$X3</f>
        <v>41718.259407118618</v>
      </c>
      <c r="AX2" s="191">
        <f>'Supply calc &gt;&gt;&gt;'!W2*'Farms proportions'!$AK3</f>
        <v>185520.21351818359</v>
      </c>
      <c r="AY2" s="118">
        <f>AX2/'National data'!$S4/'Assumptions data'!$AA3</f>
        <v>3.5337183527273064</v>
      </c>
      <c r="AZ2" s="240">
        <f>'Supply calc &gt;&gt;&gt;'!W2*'Farms proportions'!$AL3</f>
        <v>292574.11477373051</v>
      </c>
      <c r="BA2" s="118">
        <f>AZ2/'National data'!$T4/'Assumptions data'!$AA3</f>
        <v>1.4448104433270643</v>
      </c>
      <c r="BB2" s="118">
        <f>AY2*'National data'!$V3+BA2*'National data'!$X3</f>
        <v>2009.7023656681631</v>
      </c>
      <c r="BC2" s="78">
        <f>'Supply calc &gt;&gt;&gt;'!Y2*'Farms proportions'!AK3</f>
        <v>10564841.005398458</v>
      </c>
      <c r="BD2" s="234">
        <f>BC2/'National data'!$S4/'Assumptions data'!$AA3</f>
        <v>201.23506676949444</v>
      </c>
      <c r="BE2" s="118">
        <f>'Supply calc &gt;&gt;&gt;'!Y2*'Farms proportions'!AL3</f>
        <v>16661251.872571293</v>
      </c>
      <c r="BF2" s="234">
        <f>BE2/'National data'!$T4/'Assumptions data'!$AA3</f>
        <v>82.277787025043438</v>
      </c>
      <c r="BG2" s="235">
        <f>BD2*'National data'!$V3+BF2*'National data'!$X3</f>
        <v>114446.75250643909</v>
      </c>
      <c r="BH2" s="118">
        <f>'Supply calc &gt;&gt;&gt;'!F2*'National data'!$Z4/1000000</f>
        <v>37725.061681792155</v>
      </c>
      <c r="BI2" s="192">
        <f>'Supply calc &gt;&gt;&gt;'!F2*Multipliers!$E2</f>
        <v>4889332687.2718334</v>
      </c>
      <c r="BJ2" s="247">
        <f>'Supply calc &gt;&gt;&gt;'!H2*'National data'!$Z4/1000000</f>
        <v>8217.424252896808</v>
      </c>
      <c r="BK2" s="229">
        <f>'Supply calc &gt;&gt;&gt;'!H2*Multipliers!$E2</f>
        <v>1065014057.333147</v>
      </c>
      <c r="BL2" s="247">
        <f>'Supply calc &gt;&gt;&gt;'!J2*'National data'!$Z4/1000000</f>
        <v>6702.6590650691205</v>
      </c>
      <c r="BM2" s="229">
        <f>'Supply calc &gt;&gt;&gt;'!J2*Multipliers!$E2</f>
        <v>868693876.10036349</v>
      </c>
      <c r="BN2" s="247">
        <f>'Supply calc &gt;&gt;&gt;'!L2*'National data'!$Z4/1000000</f>
        <v>19567.191045189873</v>
      </c>
      <c r="BO2" s="229">
        <f>'Supply calc &gt;&gt;&gt;'!L2*Multipliers!$E2</f>
        <v>2535993382.391593</v>
      </c>
      <c r="BP2" s="247">
        <f>'Supply calc &gt;&gt;&gt;'!N2*'National data'!$Z4/1000000</f>
        <v>550.82149023499733</v>
      </c>
      <c r="BQ2" s="229">
        <f>'Supply calc &gt;&gt;&gt;'!N2*Multipliers!$E2</f>
        <v>71388869.812175632</v>
      </c>
      <c r="BR2" s="118">
        <f>'Supply calc &gt;&gt;&gt;'!P2*'National data'!$Z4/1000000</f>
        <v>6378.4608355690625</v>
      </c>
      <c r="BS2" s="192">
        <f>'Supply calc &gt;&gt;&gt;'!P2*Multipliers!$E2</f>
        <v>826676370.23064244</v>
      </c>
      <c r="BT2" s="118">
        <f>'Supply calc &gt;&gt;&gt;'!R2*'National data'!$Z4/1000000</f>
        <v>3686.9004609481412</v>
      </c>
      <c r="BU2" s="192">
        <f>'Supply calc &gt;&gt;&gt;'!R2*Multipliers!$E2</f>
        <v>477838395.34798551</v>
      </c>
      <c r="BV2" s="118">
        <f>'Supply calc &gt;&gt;&gt;'!T2*'National data'!$Z4/1000000</f>
        <v>1735.0050200774751</v>
      </c>
      <c r="BW2" s="240">
        <f>'Supply calc &gt;&gt;&gt;'!T2*Multipliers!$E2</f>
        <v>224864224.97593468</v>
      </c>
      <c r="BX2" s="78">
        <f>'Supply calc &gt;&gt;&gt;'!V2*'National data'!$Z4/1000000</f>
        <v>1478.9400054374848</v>
      </c>
      <c r="BY2" s="192">
        <f>'Supply calc &gt;&gt;&gt;'!V2*Multipliers!$E2</f>
        <v>191677081.1958541</v>
      </c>
      <c r="BZ2" s="118">
        <f>'Supply calc &gt;&gt;&gt;'!X2*'National data'!$Z4/1000000</f>
        <v>71.245283716267195</v>
      </c>
      <c r="CA2" s="192">
        <f>'Supply calc &gt;&gt;&gt;'!X2*Multipliers!$E2</f>
        <v>9233699.7995162103</v>
      </c>
      <c r="CB2" s="234">
        <f>'Supply calc &gt;&gt;&gt;'!Z2*'National data'!$Z4/1000000</f>
        <v>4057.2133923999177</v>
      </c>
      <c r="CC2" s="229">
        <f>'Supply calc &gt;&gt;&gt;'!Z2*Multipliers!$E2</f>
        <v>525832567.90994835</v>
      </c>
    </row>
    <row r="3" spans="1:81">
      <c r="A3" s="9">
        <v>2</v>
      </c>
      <c r="B3" s="1" t="s">
        <v>314</v>
      </c>
      <c r="C3" s="1" t="s">
        <v>315</v>
      </c>
      <c r="D3" s="1">
        <v>1</v>
      </c>
      <c r="E3" s="191">
        <f>'Supply calc &gt;&gt;&gt;'!E3*'Farms proportions'!AK4</f>
        <v>17412477.241538443</v>
      </c>
      <c r="F3" s="118">
        <f>E3/'National data'!$S5/'Assumptions data'!$AA4</f>
        <v>331.66623317216084</v>
      </c>
      <c r="G3" s="240">
        <f>'Supply calc &gt;&gt;&gt;'!E3*'Farms proportions'!AL4</f>
        <v>0</v>
      </c>
      <c r="H3" s="118">
        <f>G3/'National data'!$T5/'Assumptions data'!$AA4</f>
        <v>0</v>
      </c>
      <c r="I3" s="118">
        <f>F3*'National data'!V5+H3*'National data'!X4</f>
        <v>76614.899862769162</v>
      </c>
      <c r="J3" s="242">
        <f>'Supply calc &gt;&gt;&gt;'!G3*'Farms proportions'!$AK4</f>
        <v>5325558.6271908609</v>
      </c>
      <c r="K3" s="234">
        <f>J3/'National data'!$S5/'Assumptions data'!$AA4</f>
        <v>101.43921194649259</v>
      </c>
      <c r="L3" s="230">
        <f>'Supply calc &gt;&gt;&gt;'!G3*'Farms proportions'!$AL4</f>
        <v>0</v>
      </c>
      <c r="M3" s="118">
        <f>L3/'National data'!$T5/'Assumptions data'!$AA4</f>
        <v>0</v>
      </c>
      <c r="N3" s="118">
        <f>K3*'National data'!$V5+M3*'National data'!$X4</f>
        <v>23432.457959639789</v>
      </c>
      <c r="O3" s="242">
        <f>'Supply calc &gt;&gt;&gt;'!I3*'Farms proportions'!$AK4</f>
        <v>3647964.8003987642</v>
      </c>
      <c r="P3" s="234">
        <f>O3/'National data'!$S5/'Assumptions data'!$AA4</f>
        <v>69.485043817119333</v>
      </c>
      <c r="Q3" s="230">
        <f>'Supply calc &gt;&gt;&gt;'!I3*'Farms proportions'!$AL4</f>
        <v>0</v>
      </c>
      <c r="R3" s="118">
        <f>Q3/'National data'!$T5/'Assumptions data'!$AA4</f>
        <v>0</v>
      </c>
      <c r="S3" s="118">
        <f>P3*'National data'!$V5+R3*'National data'!$X4</f>
        <v>16051.045121754565</v>
      </c>
      <c r="T3" s="242">
        <f>'Supply calc &gt;&gt;&gt;'!K3*'Farms proportions'!$AK4</f>
        <v>10618114.346054476</v>
      </c>
      <c r="U3" s="234">
        <f>T3/'National data'!$S5/'Assumptions data'!$AA4</f>
        <v>202.24979706770432</v>
      </c>
      <c r="V3" s="230">
        <f>'Supply calc &gt;&gt;&gt;'!K3*'Farms proportions'!$AL4</f>
        <v>0</v>
      </c>
      <c r="W3" s="118">
        <f>V3/'National data'!$T5/'Assumptions data'!$AA4</f>
        <v>0</v>
      </c>
      <c r="X3" s="118">
        <f>U3*'National data'!$V5+W3*'National data'!$X4</f>
        <v>46719.703122639701</v>
      </c>
      <c r="Y3" s="242">
        <f>'Supply calc &gt;&gt;&gt;'!M3*'Farms proportions'!$AK4</f>
        <v>1248998.6561480274</v>
      </c>
      <c r="Z3" s="234">
        <f>Y3/'National data'!$S5/'Assumptions data'!$AA4</f>
        <v>23.790450593295759</v>
      </c>
      <c r="AA3" s="230">
        <f>'Supply calc &gt;&gt;&gt;'!M3*'Farms proportions'!$AL4</f>
        <v>0</v>
      </c>
      <c r="AB3" s="118">
        <f>AA3/'National data'!$T5/'Assumptions data'!$AA4</f>
        <v>0</v>
      </c>
      <c r="AC3" s="118">
        <f>Z3*'National data'!$V5+AB3*'National data'!$X4</f>
        <v>5495.5940870513205</v>
      </c>
      <c r="AD3" s="191">
        <f>'Supply calc &gt;&gt;&gt;'!O3*'Farms proportions'!AK4</f>
        <v>4537351.5274444344</v>
      </c>
      <c r="AE3" s="118">
        <f>AD3/'National data'!$S5/'Assumptions data'!$AA4</f>
        <v>86.425743379894001</v>
      </c>
      <c r="AF3" s="240">
        <f>'Supply calc &gt;&gt;&gt;'!O3*'Farms proportions'!AL4</f>
        <v>0</v>
      </c>
      <c r="AG3" s="118">
        <f>AF3/'National data'!$T5/'Assumptions data'!$AA4</f>
        <v>0</v>
      </c>
      <c r="AH3" s="178">
        <f>AE3*'National data'!V4+AG3*'National data'!X4</f>
        <v>19964.346720755515</v>
      </c>
      <c r="AI3" s="191">
        <f>'Supply calc &gt;&gt;&gt;'!Q3*'Farms proportions'!$AK4</f>
        <v>3733156.4640953802</v>
      </c>
      <c r="AJ3" s="118">
        <f>AI3/'National data'!$S5/'Assumptions data'!$AA4</f>
        <v>71.107742173245342</v>
      </c>
      <c r="AK3" s="240">
        <f>'Supply calc &gt;&gt;&gt;'!Q3*'Farms proportions'!$AL4</f>
        <v>0</v>
      </c>
      <c r="AL3" s="118">
        <f>AK3/'National data'!$T5/'Assumptions data'!$AA4</f>
        <v>0</v>
      </c>
      <c r="AM3" s="178">
        <f>AJ3*'National data'!$V4+AL3*'National data'!$X4</f>
        <v>16425.888442019674</v>
      </c>
      <c r="AN3" s="191">
        <f>'Supply calc &gt;&gt;&gt;'!S3*'Farms proportions'!$AK4</f>
        <v>690695.78254534618</v>
      </c>
      <c r="AO3" s="118">
        <f>AN3/'National data'!$S5/'Assumptions data'!$AA4</f>
        <v>13.156110143720879</v>
      </c>
      <c r="AP3" s="240">
        <f>'Supply calc &gt;&gt;&gt;'!S3*'Farms proportions'!$AL4</f>
        <v>0</v>
      </c>
      <c r="AQ3" s="118">
        <f>AP3/'National data'!$T5/'Assumptions data'!$AA4</f>
        <v>0</v>
      </c>
      <c r="AR3" s="178">
        <f>AO3*'National data'!$V4+AQ3*'National data'!$X4</f>
        <v>3039.0614431995232</v>
      </c>
      <c r="AS3" s="191">
        <f>'Supply calc &gt;&gt;&gt;'!U3*'Farms proportions'!$AK4</f>
        <v>798194.61688909493</v>
      </c>
      <c r="AT3" s="118">
        <f>AS3/'National data'!$S5/'Assumptions data'!$AA4</f>
        <v>15.203706988363715</v>
      </c>
      <c r="AU3" s="240">
        <f>'Supply calc &gt;&gt;&gt;'!U3*'Farms proportions'!$AL4</f>
        <v>0</v>
      </c>
      <c r="AV3" s="118">
        <f>AU3/'National data'!$T5/'Assumptions data'!$AA4</f>
        <v>0</v>
      </c>
      <c r="AW3" s="178">
        <f>AT3*'National data'!$V4+AV3*'National data'!$X4</f>
        <v>3512.056314312018</v>
      </c>
      <c r="AX3" s="191">
        <f>'Supply calc &gt;&gt;&gt;'!W3*'Farms proportions'!$AK4</f>
        <v>221730.43605244678</v>
      </c>
      <c r="AY3" s="118">
        <f>AX3/'National data'!$S5/'Assumptions data'!$AA4</f>
        <v>4.2234368771894628</v>
      </c>
      <c r="AZ3" s="240">
        <f>'Supply calc &gt;&gt;&gt;'!W3*'Farms proportions'!$AL4</f>
        <v>0</v>
      </c>
      <c r="BA3" s="118">
        <f>AZ3/'National data'!$T5/'Assumptions data'!$AA4</f>
        <v>0</v>
      </c>
      <c r="BB3" s="118">
        <f>AY3*'National data'!$V4+BA3*'National data'!$X4</f>
        <v>975.61391863076597</v>
      </c>
      <c r="BC3" s="78">
        <f>'Supply calc &gt;&gt;&gt;'!Y3*'Farms proportions'!AK4</f>
        <v>3913999.5552360038</v>
      </c>
      <c r="BD3" s="234">
        <f>BC3/'National data'!$S5/'Assumptions data'!$AA4</f>
        <v>74.55237248068579</v>
      </c>
      <c r="BE3" s="118">
        <f>'Supply calc &gt;&gt;&gt;'!Y3*'Farms proportions'!AL4</f>
        <v>0</v>
      </c>
      <c r="BF3" s="234">
        <f>BE3/'National data'!$T5/'Assumptions data'!$AA4</f>
        <v>0</v>
      </c>
      <c r="BG3" s="235">
        <f>BD3*'National data'!$V4+BF3*'National data'!$X4</f>
        <v>17221.598043038419</v>
      </c>
      <c r="BH3" s="118">
        <f>'Supply calc &gt;&gt;&gt;'!F3*'National data'!Z5/1000000</f>
        <v>4749.4908438604871</v>
      </c>
      <c r="BI3" s="192">
        <f>'Supply calc &gt;&gt;&gt;'!F3*Multipliers!E3</f>
        <v>647952366.1474061</v>
      </c>
      <c r="BJ3" s="247">
        <f>'Supply calc &gt;&gt;&gt;'!H3*'National data'!$Z5/1000000</f>
        <v>1452.6188081926502</v>
      </c>
      <c r="BK3" s="229">
        <f>'Supply calc &gt;&gt;&gt;'!H3*Multipliers!$E3</f>
        <v>198174462.23637792</v>
      </c>
      <c r="BL3" s="247">
        <f>'Supply calc &gt;&gt;&gt;'!J3*'National data'!$Z5/1000000</f>
        <v>995.03219317278945</v>
      </c>
      <c r="BM3" s="229">
        <f>'Supply calc &gt;&gt;&gt;'!J3*Multipliers!$E3</f>
        <v>135747911.75617865</v>
      </c>
      <c r="BN3" s="247">
        <f>'Supply calc &gt;&gt;&gt;'!L3*'National data'!$Z5/1000000</f>
        <v>2896.2356226570846</v>
      </c>
      <c r="BO3" s="229">
        <f>'Supply calc &gt;&gt;&gt;'!L3*Multipliers!$E3</f>
        <v>395120821.64489555</v>
      </c>
      <c r="BP3" s="247">
        <f>'Supply calc &gt;&gt;&gt;'!N3*'National data'!$Z5/1000000</f>
        <v>340.68143200312312</v>
      </c>
      <c r="BQ3" s="229">
        <f>'Supply calc &gt;&gt;&gt;'!N3*Multipliers!$E3</f>
        <v>46477685.130030438</v>
      </c>
      <c r="BR3" s="118">
        <f>'Supply calc &gt;&gt;&gt;'!P3*'National data'!Z5/1000000</f>
        <v>610.37787015677907</v>
      </c>
      <c r="BS3" s="192">
        <f>'Supply calc &gt;&gt;&gt;'!P3*Multipliers!E3</f>
        <v>83271196.474321827</v>
      </c>
      <c r="BT3" s="118">
        <f>'Supply calc &gt;&gt;&gt;'!R3*'National data'!$Z5/1000000</f>
        <v>502.19518539264317</v>
      </c>
      <c r="BU3" s="192">
        <f>'Supply calc &gt;&gt;&gt;'!R3*Multipliers!$E3</f>
        <v>68512303.600633442</v>
      </c>
      <c r="BV3" s="118">
        <f>'Supply calc &gt;&gt;&gt;'!T3*'National data'!$Z5/1000000</f>
        <v>92.914427750707489</v>
      </c>
      <c r="BW3" s="240">
        <f>'Supply calc &gt;&gt;&gt;'!T3*Multipliers!$E3</f>
        <v>12675911.016467597</v>
      </c>
      <c r="BX3" s="78">
        <f>'Supply calc &gt;&gt;&gt;'!V3*'National data'!$Z5/1000000</f>
        <v>107.37548706123218</v>
      </c>
      <c r="BY3" s="192">
        <f>'Supply calc &gt;&gt;&gt;'!V3*Multipliers!$E3</f>
        <v>14648770.403988019</v>
      </c>
      <c r="BZ3" s="118">
        <f>'Supply calc &gt;&gt;&gt;'!X3*'National data'!$Z5/1000000</f>
        <v>29.827830285579246</v>
      </c>
      <c r="CA3" s="192">
        <f>'Supply calc &gt;&gt;&gt;'!X3*Multipliers!$E3</f>
        <v>4069281.0757952584</v>
      </c>
      <c r="CB3" s="234">
        <f>'Supply calc &gt;&gt;&gt;'!Z3*'National data'!$Z5/1000000</f>
        <v>526.52272980601435</v>
      </c>
      <c r="CC3" s="229">
        <f>'Supply calc &gt;&gt;&gt;'!Z3*Multipliers!$E3</f>
        <v>71831204.612007409</v>
      </c>
    </row>
    <row r="4" spans="1:81">
      <c r="A4" s="9">
        <v>3</v>
      </c>
      <c r="B4" s="1" t="s">
        <v>321</v>
      </c>
      <c r="C4" s="1" t="s">
        <v>322</v>
      </c>
      <c r="D4" s="1">
        <v>0</v>
      </c>
      <c r="E4" s="191">
        <f>'Supply calc &gt;&gt;&gt;'!E4*'Farms proportions'!AK5</f>
        <v>2856689.8590461761</v>
      </c>
      <c r="F4" s="118">
        <f>E4/'National data'!$S6/'Assumptions data'!$AA5</f>
        <v>54.413140172308118</v>
      </c>
      <c r="G4" s="240">
        <f>'Supply calc &gt;&gt;&gt;'!E4*'Farms proportions'!AL5</f>
        <v>351017.32753367664</v>
      </c>
      <c r="H4" s="118">
        <f>G4/'National data'!$T6/'Assumptions data'!$AA5</f>
        <v>1.7334189014008725</v>
      </c>
      <c r="I4" s="118">
        <f>F4*'National data'!V6+H4*'National data'!X5</f>
        <v>14001.239392360296</v>
      </c>
      <c r="J4" s="242">
        <f>'Supply calc &gt;&gt;&gt;'!G4*'Farms proportions'!$AK5</f>
        <v>942774.44572169881</v>
      </c>
      <c r="K4" s="234">
        <f>J4/'National data'!$S6/'Assumptions data'!$AA5</f>
        <v>17.957608489937119</v>
      </c>
      <c r="L4" s="230">
        <f>'Supply calc &gt;&gt;&gt;'!G4*'Farms proportions'!$AL5</f>
        <v>115843.92521866853</v>
      </c>
      <c r="M4" s="118">
        <f>L4/'National data'!$T6/'Assumptions data'!$AA5</f>
        <v>0.57206876651194338</v>
      </c>
      <c r="N4" s="118">
        <f>K4*'National data'!$V6+M4*'National data'!$X5</f>
        <v>4620.7363623143392</v>
      </c>
      <c r="O4" s="242">
        <f>'Supply calc &gt;&gt;&gt;'!I4*'Farms proportions'!$AK5</f>
        <v>873364.98187412717</v>
      </c>
      <c r="P4" s="234">
        <f>O4/'National data'!$S6/'Assumptions data'!$AA5</f>
        <v>16.635523464269092</v>
      </c>
      <c r="Q4" s="230">
        <f>'Supply calc &gt;&gt;&gt;'!I4*'Farms proportions'!$AL5</f>
        <v>107315.19941801237</v>
      </c>
      <c r="R4" s="118">
        <f>Q4/'National data'!$T6/'Assumptions data'!$AA5</f>
        <v>0.52995160206425862</v>
      </c>
      <c r="S4" s="118">
        <f>P4*'National data'!$V6+R4*'National data'!$X5</f>
        <v>4280.5459435512375</v>
      </c>
      <c r="T4" s="242">
        <f>'Supply calc &gt;&gt;&gt;'!K4*'Farms proportions'!$AK5</f>
        <v>1782146.0715468451</v>
      </c>
      <c r="U4" s="234">
        <f>T4/'National data'!$S6/'Assumptions data'!$AA5</f>
        <v>33.945639458035146</v>
      </c>
      <c r="V4" s="230">
        <f>'Supply calc &gt;&gt;&gt;'!K4*'Farms proportions'!$AL5</f>
        <v>218982.17243571708</v>
      </c>
      <c r="W4" s="118">
        <f>V4/'National data'!$T6/'Assumptions data'!$AA5</f>
        <v>1.0813934441269979</v>
      </c>
      <c r="X4" s="118">
        <f>U4*'National data'!$V6+W4*'National data'!$X5</f>
        <v>8734.6736996550189</v>
      </c>
      <c r="Y4" s="242">
        <f>'Supply calc &gt;&gt;&gt;'!M4*'Farms proportions'!$AK5</f>
        <v>51818.26696374856</v>
      </c>
      <c r="Z4" s="234">
        <f>Y4/'National data'!$S6/'Assumptions data'!$AA5</f>
        <v>0.98701460883330594</v>
      </c>
      <c r="AA4" s="230">
        <f>'Supply calc &gt;&gt;&gt;'!M4*'Farms proportions'!$AL5</f>
        <v>6367.1978704453441</v>
      </c>
      <c r="AB4" s="118">
        <f>AA4/'National data'!$T6/'Assumptions data'!$AA5</f>
        <v>3.1442952446643677E-2</v>
      </c>
      <c r="AC4" s="118">
        <f>Z4*'National data'!$V6+AB4*'National data'!$X5</f>
        <v>253.97225336142134</v>
      </c>
      <c r="AD4" s="191">
        <f>'Supply calc &gt;&gt;&gt;'!O4*'Farms proportions'!AK5</f>
        <v>747123.87427368271</v>
      </c>
      <c r="AE4" s="118">
        <f>AD4/'National data'!$S6/'Assumptions data'!$AA5</f>
        <v>14.230930938546338</v>
      </c>
      <c r="AF4" s="240">
        <f>'Supply calc &gt;&gt;&gt;'!O4*'Farms proportions'!AL5</f>
        <v>91803.254334273035</v>
      </c>
      <c r="AG4" s="118">
        <f>AF4/'National data'!$T6/'Assumptions data'!$AA5</f>
        <v>0.45334940411986685</v>
      </c>
      <c r="AH4" s="178">
        <f>AE4*'National data'!V5+AG4*'National data'!X5</f>
        <v>3661.8116546072142</v>
      </c>
      <c r="AI4" s="191">
        <f>'Supply calc &gt;&gt;&gt;'!Q4*'Farms proportions'!$AK5</f>
        <v>558634.03745427611</v>
      </c>
      <c r="AJ4" s="118">
        <f>AI4/'National data'!$S6/'Assumptions data'!$AA5</f>
        <v>10.640648332462403</v>
      </c>
      <c r="AK4" s="240">
        <f>'Supply calc &gt;&gt;&gt;'!Q4*'Farms proportions'!$AL5</f>
        <v>68642.462630514827</v>
      </c>
      <c r="AL4" s="118">
        <f>AK4/'National data'!$T6/'Assumptions data'!$AA5</f>
        <v>0.33897512410130776</v>
      </c>
      <c r="AM4" s="178">
        <f>AJ4*'National data'!$V5+AL4*'National data'!$X5</f>
        <v>2737.9832173064951</v>
      </c>
      <c r="AN4" s="191">
        <f>'Supply calc &gt;&gt;&gt;'!S4*'Farms proportions'!$AK5</f>
        <v>227290.70297959691</v>
      </c>
      <c r="AO4" s="118">
        <f>AN4/'National data'!$S6/'Assumptions data'!$AA5</f>
        <v>4.329346723420894</v>
      </c>
      <c r="AP4" s="240">
        <f>'Supply calc &gt;&gt;&gt;'!S4*'Farms proportions'!$AL5</f>
        <v>27928.469336810551</v>
      </c>
      <c r="AQ4" s="118">
        <f>AP4/'National data'!$T6/'Assumptions data'!$AA5</f>
        <v>0.13791836709536076</v>
      </c>
      <c r="AR4" s="178">
        <f>AO4*'National data'!$V5+AQ4*'National data'!$X5</f>
        <v>1113.9996643309944</v>
      </c>
      <c r="AS4" s="191">
        <f>'Supply calc &gt;&gt;&gt;'!U4*'Farms proportions'!$AK5</f>
        <v>177060.38338799469</v>
      </c>
      <c r="AT4" s="118">
        <f>AS4/'National data'!$S6/'Assumptions data'!$AA5</f>
        <v>3.3725787311998987</v>
      </c>
      <c r="AU4" s="240">
        <f>'Supply calc &gt;&gt;&gt;'!U4*'Farms proportions'!$AL5</f>
        <v>21756.391367487773</v>
      </c>
      <c r="AV4" s="118">
        <f>AU4/'National data'!$T6/'Assumptions data'!$AA5</f>
        <v>0.10743896971598901</v>
      </c>
      <c r="AW4" s="178">
        <f>AT4*'National data'!$V5+AV4*'National data'!$X5</f>
        <v>867.8102758925836</v>
      </c>
      <c r="AX4" s="191">
        <f>'Supply calc &gt;&gt;&gt;'!W4*'Farms proportions'!$AK5</f>
        <v>10512.552304655595</v>
      </c>
      <c r="AY4" s="118">
        <f>AX4/'National data'!$S6/'Assumptions data'!$AA5</f>
        <v>0.20023909151724945</v>
      </c>
      <c r="AZ4" s="240">
        <f>'Supply calc &gt;&gt;&gt;'!W4*'Farms proportions'!$AL5</f>
        <v>1291.7356092587133</v>
      </c>
      <c r="BA4" s="118">
        <f>AZ4/'National data'!$T6/'Assumptions data'!$AA5</f>
        <v>6.3789412802899431E-3</v>
      </c>
      <c r="BB4" s="118">
        <f>AY4*'National data'!$V5+BA4*'National data'!$X5</f>
        <v>51.524235638004114</v>
      </c>
      <c r="BC4" s="78">
        <f>'Supply calc &gt;&gt;&gt;'!Y4*'Farms proportions'!AK5</f>
        <v>786157.13593572762</v>
      </c>
      <c r="BD4" s="234">
        <f>BC4/'National data'!$S6/'Assumptions data'!$AA5</f>
        <v>14.974421636871002</v>
      </c>
      <c r="BE4" s="118">
        <f>'Supply calc &gt;&gt;&gt;'!Y4*'Farms proportions'!AL5</f>
        <v>96599.487691613584</v>
      </c>
      <c r="BF4" s="234">
        <f>BE4/'National data'!$T6/'Assumptions data'!$AA5</f>
        <v>0.47703450711907941</v>
      </c>
      <c r="BG4" s="235">
        <f>BD4*'National data'!$V5+BF4*'National data'!$X5</f>
        <v>3853.1219009975612</v>
      </c>
      <c r="BH4" s="118">
        <f>'Supply calc &gt;&gt;&gt;'!F4*'National data'!Z6/1000000</f>
        <v>46304.419231268068</v>
      </c>
      <c r="BI4" s="192">
        <f>'Supply calc &gt;&gt;&gt;'!F4*Multipliers!E4</f>
        <v>7264676959.8851671</v>
      </c>
      <c r="BJ4" s="247">
        <f>'Supply calc &gt;&gt;&gt;'!H4*'National data'!$Z6/1000000</f>
        <v>15281.540989472278</v>
      </c>
      <c r="BK4" s="229">
        <f>'Supply calc &gt;&gt;&gt;'!H4*Multipliers!$E4</f>
        <v>2397513252.1000161</v>
      </c>
      <c r="BL4" s="247">
        <f>'Supply calc &gt;&gt;&gt;'!J4*'National data'!$Z6/1000000</f>
        <v>14156.474891576507</v>
      </c>
      <c r="BM4" s="229">
        <f>'Supply calc &gt;&gt;&gt;'!J4*Multipliers!$E4</f>
        <v>2221002199.9062734</v>
      </c>
      <c r="BN4" s="247">
        <f>'Supply calc &gt;&gt;&gt;'!L4*'National data'!$Z6/1000000</f>
        <v>28887.013606655815</v>
      </c>
      <c r="BO4" s="229">
        <f>'Supply calc &gt;&gt;&gt;'!L4*Multipliers!$E4</f>
        <v>4532068983.3088932</v>
      </c>
      <c r="BP4" s="247">
        <f>'Supply calc &gt;&gt;&gt;'!N4*'National data'!$Z6/1000000</f>
        <v>839.92833514252231</v>
      </c>
      <c r="BQ4" s="229">
        <f>'Supply calc &gt;&gt;&gt;'!N4*Multipliers!$E4</f>
        <v>131775932.52577089</v>
      </c>
      <c r="BR4" s="118">
        <f>'Supply calc &gt;&gt;&gt;'!P4*'National data'!Z6/1000000</f>
        <v>6133.198819130117</v>
      </c>
      <c r="BS4" s="192">
        <f>'Supply calc &gt;&gt;&gt;'!P4*Multipliers!E4</f>
        <v>962234466.84851766</v>
      </c>
      <c r="BT4" s="118">
        <f>'Supply calc &gt;&gt;&gt;'!R4*'National data'!$Z6/1000000</f>
        <v>4585.8708800749455</v>
      </c>
      <c r="BU4" s="192">
        <f>'Supply calc &gt;&gt;&gt;'!R4*Multipliers!$E4</f>
        <v>719474967.54245389</v>
      </c>
      <c r="BV4" s="118">
        <f>'Supply calc &gt;&gt;&gt;'!T4*'National data'!$Z6/1000000</f>
        <v>1865.8473100848441</v>
      </c>
      <c r="BW4" s="240">
        <f>'Supply calc &gt;&gt;&gt;'!T4*Multipliers!$E4</f>
        <v>292731842.64632612</v>
      </c>
      <c r="BX4" s="78">
        <f>'Supply calc &gt;&gt;&gt;'!V4*'National data'!$Z6/1000000</f>
        <v>1453.5026542495098</v>
      </c>
      <c r="BY4" s="192">
        <f>'Supply calc &gt;&gt;&gt;'!V4*Multipliers!$E4</f>
        <v>228039297.73355201</v>
      </c>
      <c r="BZ4" s="118">
        <f>'Supply calc &gt;&gt;&gt;'!X4*'National data'!$Z6/1000000</f>
        <v>86.298371128398628</v>
      </c>
      <c r="CA4" s="192">
        <f>'Supply calc &gt;&gt;&gt;'!X4*Multipliers!$E4</f>
        <v>13539307.885083003</v>
      </c>
      <c r="CB4" s="234">
        <f>'Supply calc &gt;&gt;&gt;'!Z4*'National data'!$Z6/1000000</f>
        <v>6453.6259431665185</v>
      </c>
      <c r="CC4" s="229">
        <f>'Supply calc &gt;&gt;&gt;'!Z4*Multipliers!$E4</f>
        <v>1012506116.5950198</v>
      </c>
    </row>
    <row r="5" spans="1:81">
      <c r="A5" s="9">
        <v>4</v>
      </c>
      <c r="B5" s="1" t="s">
        <v>327</v>
      </c>
      <c r="C5" s="1" t="s">
        <v>328</v>
      </c>
      <c r="D5" s="1">
        <v>0</v>
      </c>
      <c r="E5" s="191">
        <f>'Supply calc &gt;&gt;&gt;'!E5*'Farms proportions'!AK6</f>
        <v>22261496.319644164</v>
      </c>
      <c r="F5" s="118">
        <f>E5/'National data'!$S7/'Assumptions data'!$AA6</f>
        <v>424.0285013265555</v>
      </c>
      <c r="G5" s="240">
        <f>'Supply calc &gt;&gt;&gt;'!E5*'Farms proportions'!AL6</f>
        <v>46194297.726443186</v>
      </c>
      <c r="H5" s="118">
        <f>G5/'National data'!$T7/'Assumptions data'!$AA6</f>
        <v>228.11998877255894</v>
      </c>
      <c r="I5" s="118">
        <f>F5*'National data'!V7+H5*'National data'!X6</f>
        <v>286377.69453256798</v>
      </c>
      <c r="J5" s="242">
        <f>'Supply calc &gt;&gt;&gt;'!G5*'Farms proportions'!$AK6</f>
        <v>5285748.5876014037</v>
      </c>
      <c r="K5" s="234">
        <f>J5/'National data'!$S7/'Assumptions data'!$AA6</f>
        <v>100.68092547812198</v>
      </c>
      <c r="L5" s="230">
        <f>'Supply calc &gt;&gt;&gt;'!G5*'Farms proportions'!$AL6</f>
        <v>10968330.271102313</v>
      </c>
      <c r="M5" s="118">
        <f>L5/'National data'!$T7/'Assumptions data'!$AA6</f>
        <v>54.164593931369446</v>
      </c>
      <c r="N5" s="118">
        <f>K5*'National data'!$V7+M5*'National data'!$X6</f>
        <v>67997.248372757342</v>
      </c>
      <c r="O5" s="242">
        <f>'Supply calc &gt;&gt;&gt;'!I5*'Farms proportions'!$AK6</f>
        <v>4341235.1406974625</v>
      </c>
      <c r="P5" s="234">
        <f>O5/'National data'!$S7/'Assumptions data'!$AA6</f>
        <v>82.690193156142143</v>
      </c>
      <c r="Q5" s="230">
        <f>'Supply calc &gt;&gt;&gt;'!I5*'Farms proportions'!$AL6</f>
        <v>9008393.0437736902</v>
      </c>
      <c r="R5" s="118">
        <f>Q5/'National data'!$T7/'Assumptions data'!$AA6</f>
        <v>44.485891574191065</v>
      </c>
      <c r="S5" s="118">
        <f>P5*'National data'!$V7+R5*'National data'!$X6</f>
        <v>55846.781059350658</v>
      </c>
      <c r="T5" s="242">
        <f>'Supply calc &gt;&gt;&gt;'!K5*'Farms proportions'!$AK6</f>
        <v>8186738.2422395758</v>
      </c>
      <c r="U5" s="234">
        <f>T5/'National data'!$S7/'Assumptions data'!$AA6</f>
        <v>155.93787128075382</v>
      </c>
      <c r="V5" s="230">
        <f>'Supply calc &gt;&gt;&gt;'!K5*'Farms proportions'!$AL6</f>
        <v>16988104.40863115</v>
      </c>
      <c r="W5" s="118">
        <f>V5/'National data'!$T7/'Assumptions data'!$AA6</f>
        <v>83.89187362286988</v>
      </c>
      <c r="X5" s="118">
        <f>U5*'National data'!$V7+W5*'National data'!$X6</f>
        <v>105316.33587834466</v>
      </c>
      <c r="Y5" s="242">
        <f>'Supply calc &gt;&gt;&gt;'!M5*'Farms proportions'!$AK6</f>
        <v>397989.44845140225</v>
      </c>
      <c r="Z5" s="234">
        <f>Y5/'National data'!$S7/'Assumptions data'!$AA6</f>
        <v>7.5807513990743294</v>
      </c>
      <c r="AA5" s="230">
        <f>'Supply calc &gt;&gt;&gt;'!M5*'Farms proportions'!$AL6</f>
        <v>825858.37042425992</v>
      </c>
      <c r="AB5" s="118">
        <f>AA5/'National data'!$T7/'Assumptions data'!$AA6</f>
        <v>4.0783129403667164</v>
      </c>
      <c r="AC5" s="118">
        <f>Z5*'National data'!$V7+AB5*'National data'!$X6</f>
        <v>5119.8400619290778</v>
      </c>
      <c r="AD5" s="191">
        <f>'Supply calc &gt;&gt;&gt;'!O5*'Farms proportions'!AK6</f>
        <v>8668209.0394410118</v>
      </c>
      <c r="AE5" s="118">
        <f>AD5/'National data'!$S7/'Assumptions data'!$AA6</f>
        <v>165.10874360840023</v>
      </c>
      <c r="AF5" s="240">
        <f>'Supply calc &gt;&gt;&gt;'!O5*'Farms proportions'!AL6</f>
        <v>17987192.926004749</v>
      </c>
      <c r="AG5" s="118">
        <f>AF5/'National data'!$T7/'Assumptions data'!$AA6</f>
        <v>88.825644079035797</v>
      </c>
      <c r="AH5" s="178">
        <f>AE5*'National data'!V6+AG5*'National data'!X6</f>
        <v>111510.10178282403</v>
      </c>
      <c r="AI5" s="191">
        <f>'Supply calc &gt;&gt;&gt;'!Q5*'Farms proportions'!$AK6</f>
        <v>6049385.274157377</v>
      </c>
      <c r="AJ5" s="118">
        <f>AI5/'National data'!$S7/'Assumptions data'!$AA6</f>
        <v>115.22638617442624</v>
      </c>
      <c r="AK5" s="240">
        <f>'Supply calc &gt;&gt;&gt;'!Q5*'Farms proportions'!$AL6</f>
        <v>12552934.466035651</v>
      </c>
      <c r="AL5" s="118">
        <f>AK5/'National data'!$T7/'Assumptions data'!$AA6</f>
        <v>61.989799832274826</v>
      </c>
      <c r="AM5" s="178">
        <f>AJ5*'National data'!$V6+AL5*'National data'!$X6</f>
        <v>77820.869867751462</v>
      </c>
      <c r="AN5" s="191">
        <f>'Supply calc &gt;&gt;&gt;'!S5*'Farms proportions'!$AK6</f>
        <v>2178449.5191745972</v>
      </c>
      <c r="AO5" s="118">
        <f>AN5/'National data'!$S7/'Assumptions data'!$AA6</f>
        <v>41.494276555706612</v>
      </c>
      <c r="AP5" s="240">
        <f>'Supply calc &gt;&gt;&gt;'!S5*'Farms proportions'!$AL6</f>
        <v>4520448.4112767354</v>
      </c>
      <c r="AQ5" s="118">
        <f>AP5/'National data'!$T7/'Assumptions data'!$AA6</f>
        <v>22.323202030996224</v>
      </c>
      <c r="AR5" s="178">
        <f>AO5*'National data'!$V6+AQ5*'National data'!$X6</f>
        <v>28024.14276197111</v>
      </c>
      <c r="AS5" s="191">
        <f>'Supply calc &gt;&gt;&gt;'!U5*'Farms proportions'!$AK6</f>
        <v>1728982.5008202472</v>
      </c>
      <c r="AT5" s="118">
        <f>AS5/'National data'!$S7/'Assumptions data'!$AA6</f>
        <v>32.933000015623755</v>
      </c>
      <c r="AU5" s="240">
        <f>'Supply calc &gt;&gt;&gt;'!U5*'Farms proportions'!$AL6</f>
        <v>3587770.1687205122</v>
      </c>
      <c r="AV5" s="118">
        <f>AU5/'National data'!$T7/'Assumptions data'!$AA6</f>
        <v>17.717383549237098</v>
      </c>
      <c r="AW5" s="178">
        <f>AT5*'National data'!$V6+AV5*'National data'!$X6</f>
        <v>22242.081815278929</v>
      </c>
      <c r="AX5" s="191">
        <f>'Supply calc &gt;&gt;&gt;'!W5*'Farms proportions'!$AK6</f>
        <v>109921.26123537918</v>
      </c>
      <c r="AY5" s="118">
        <f>AX5/'National data'!$S7/'Assumptions data'!$AA6</f>
        <v>2.0937383092453179</v>
      </c>
      <c r="AZ5" s="240">
        <f>'Supply calc &gt;&gt;&gt;'!W5*'Farms proportions'!$AL6</f>
        <v>228094.97596495834</v>
      </c>
      <c r="BA5" s="118">
        <f>AZ5/'National data'!$T7/'Assumptions data'!$AA6</f>
        <v>1.1263949430368314</v>
      </c>
      <c r="BB5" s="118">
        <f>AY5*'National data'!$V6+BA5*'National data'!$X6</f>
        <v>1414.0557723840911</v>
      </c>
      <c r="BC5" s="78">
        <f>'Supply calc &gt;&gt;&gt;'!Y5*'Farms proportions'!AK6</f>
        <v>8005273.477422487</v>
      </c>
      <c r="BD5" s="234">
        <f>BC5/'National data'!$S7/'Assumptions data'!$AA6</f>
        <v>152.48139956995215</v>
      </c>
      <c r="BE5" s="118">
        <f>'Supply calc &gt;&gt;&gt;'!Y5*'Farms proportions'!AL6</f>
        <v>16611551.222247964</v>
      </c>
      <c r="BF5" s="234">
        <f>BE5/'National data'!$T7/'Assumptions data'!$AA6</f>
        <v>82.032351714804761</v>
      </c>
      <c r="BG5" s="235">
        <f>BD5*'National data'!$V6+BF5*'National data'!$X6</f>
        <v>102981.92581708769</v>
      </c>
      <c r="BH5" s="118">
        <f>'Supply calc &gt;&gt;&gt;'!F5*'National data'!Z7/1000000</f>
        <v>22512.888272229684</v>
      </c>
      <c r="BI5" s="192">
        <f>'Supply calc &gt;&gt;&gt;'!F5*Multipliers!E5</f>
        <v>2917768602.812851</v>
      </c>
      <c r="BJ5" s="247">
        <f>'Supply calc &gt;&gt;&gt;'!H5*'National data'!$Z7/1000000</f>
        <v>5345.4388545643078</v>
      </c>
      <c r="BK5" s="229">
        <f>'Supply calc &gt;&gt;&gt;'!H5*Multipliers!$E5</f>
        <v>692792211.71024454</v>
      </c>
      <c r="BL5" s="247">
        <f>'Supply calc &gt;&gt;&gt;'!J5*'National data'!$Z7/1000000</f>
        <v>4390.2593196197831</v>
      </c>
      <c r="BM5" s="229">
        <f>'Supply calc &gt;&gt;&gt;'!J5*Multipliers!$E5</f>
        <v>568996774.02984905</v>
      </c>
      <c r="BN5" s="247">
        <f>'Supply calc &gt;&gt;&gt;'!L5*'National data'!$Z7/1000000</f>
        <v>8279.1884568375517</v>
      </c>
      <c r="BO5" s="229">
        <f>'Supply calc &gt;&gt;&gt;'!L5*Multipliers!$E5</f>
        <v>1073018967.8029568</v>
      </c>
      <c r="BP5" s="247">
        <f>'Supply calc &gt;&gt;&gt;'!N5*'National data'!$Z7/1000000</f>
        <v>402.48381590622353</v>
      </c>
      <c r="BQ5" s="229">
        <f>'Supply calc &gt;&gt;&gt;'!N5*Multipliers!$E5</f>
        <v>52163659.633139476</v>
      </c>
      <c r="BR5" s="118">
        <f>'Supply calc &gt;&gt;&gt;'!P5*'National data'!Z7/1000000</f>
        <v>4323.307228947132</v>
      </c>
      <c r="BS5" s="192">
        <f>'Supply calc &gt;&gt;&gt;'!P5*Multipliers!E5</f>
        <v>560319490.79123807</v>
      </c>
      <c r="BT5" s="118">
        <f>'Supply calc &gt;&gt;&gt;'!R5*'National data'!$Z7/1000000</f>
        <v>3017.1574044247409</v>
      </c>
      <c r="BU5" s="192">
        <f>'Supply calc &gt;&gt;&gt;'!R5*Multipliers!$E5</f>
        <v>391036771.37837702</v>
      </c>
      <c r="BV5" s="118">
        <f>'Supply calc &gt;&gt;&gt;'!T5*'National data'!$Z7/1000000</f>
        <v>1086.5112402447658</v>
      </c>
      <c r="BW5" s="240">
        <f>'Supply calc &gt;&gt;&gt;'!T5*Multipliers!$E5</f>
        <v>140816600.03172269</v>
      </c>
      <c r="BX5" s="78">
        <f>'Supply calc &gt;&gt;&gt;'!V5*'National data'!$Z7/1000000</f>
        <v>862.33759597949233</v>
      </c>
      <c r="BY5" s="192">
        <f>'Supply calc &gt;&gt;&gt;'!V5*Multipliers!$E5</f>
        <v>111762717.07783325</v>
      </c>
      <c r="BZ5" s="118">
        <f>'Supply calc &gt;&gt;&gt;'!X5*'National data'!$Z7/1000000</f>
        <v>54.823710544081052</v>
      </c>
      <c r="CA5" s="192">
        <f>'Supply calc &gt;&gt;&gt;'!X5*Multipliers!$E5</f>
        <v>7105392.2260405179</v>
      </c>
      <c r="CB5" s="234">
        <f>'Supply calc &gt;&gt;&gt;'!Z5*'National data'!$Z7/1000000</f>
        <v>3992.6652134442797</v>
      </c>
      <c r="CC5" s="229">
        <f>'Supply calc &gt;&gt;&gt;'!Z5*Multipliers!$E5</f>
        <v>517466842.12442917</v>
      </c>
    </row>
    <row r="6" spans="1:81">
      <c r="A6" s="9">
        <v>5</v>
      </c>
      <c r="B6" s="1" t="s">
        <v>332</v>
      </c>
      <c r="C6" s="1" t="s">
        <v>333</v>
      </c>
      <c r="D6" s="1">
        <v>1</v>
      </c>
      <c r="E6" s="191">
        <f>'Supply calc &gt;&gt;&gt;'!E6*'Farms proportions'!AK7</f>
        <v>75673274.622792289</v>
      </c>
      <c r="F6" s="118">
        <f>E6/'National data'!$S8/'Assumptions data'!$AA7</f>
        <v>1441.3957071008056</v>
      </c>
      <c r="G6" s="240">
        <f>'Supply calc &gt;&gt;&gt;'!E6*'Farms proportions'!AL7</f>
        <v>181732491.56337008</v>
      </c>
      <c r="H6" s="118">
        <f>G6/'National data'!$T8/'Assumptions data'!$AA7</f>
        <v>897.44440278207458</v>
      </c>
      <c r="I6" s="118">
        <f>F6*'National data'!V8+H6*'National data'!X7</f>
        <v>1074251.4850382796</v>
      </c>
      <c r="J6" s="242">
        <f>'Supply calc &gt;&gt;&gt;'!G6*'Farms proportions'!$AK7</f>
        <v>24743683.82614382</v>
      </c>
      <c r="K6" s="234">
        <f>J6/'National data'!$S8/'Assumptions data'!$AA7</f>
        <v>471.3082633551204</v>
      </c>
      <c r="L6" s="230">
        <f>'Supply calc &gt;&gt;&gt;'!G6*'Farms proportions'!$AL7</f>
        <v>59422977.723591104</v>
      </c>
      <c r="M6" s="118">
        <f>L6/'National data'!$T8/'Assumptions data'!$AA7</f>
        <v>293.4468035732894</v>
      </c>
      <c r="N6" s="118">
        <f>K6*'National data'!$V8+M6*'National data'!$X7</f>
        <v>351259.26858656987</v>
      </c>
      <c r="O6" s="242">
        <f>'Supply calc &gt;&gt;&gt;'!I6*'Farms proportions'!$AK7</f>
        <v>8748734.2545998134</v>
      </c>
      <c r="P6" s="234">
        <f>O6/'National data'!$S8/'Assumptions data'!$AA7</f>
        <v>166.64255723047265</v>
      </c>
      <c r="Q6" s="230">
        <f>'Supply calc &gt;&gt;&gt;'!I6*'Farms proportions'!$AL7</f>
        <v>21010446.31727026</v>
      </c>
      <c r="R6" s="118">
        <f>Q6/'National data'!$T8/'Assumptions data'!$AA7</f>
        <v>103.75529045565561</v>
      </c>
      <c r="S6" s="118">
        <f>P6*'National data'!$V8+R6*'National data'!$X7</f>
        <v>124196.30063661071</v>
      </c>
      <c r="T6" s="242">
        <f>'Supply calc &gt;&gt;&gt;'!K6*'Farms proportions'!$AK7</f>
        <v>43072592.189729467</v>
      </c>
      <c r="U6" s="234">
        <f>T6/'National data'!$S8/'Assumptions data'!$AA7</f>
        <v>820.43032742341848</v>
      </c>
      <c r="V6" s="230">
        <f>'Supply calc &gt;&gt;&gt;'!K6*'Farms proportions'!$AL7</f>
        <v>103440607.47669616</v>
      </c>
      <c r="W6" s="118">
        <f>V6/'National data'!$T8/'Assumptions data'!$AA7</f>
        <v>510.81781469973419</v>
      </c>
      <c r="X6" s="118">
        <f>U6*'National data'!$V8+W6*'National data'!$X7</f>
        <v>611454.92057679011</v>
      </c>
      <c r="Y6" s="242">
        <f>'Supply calc &gt;&gt;&gt;'!M6*'Farms proportions'!$AK7</f>
        <v>446963.11225166556</v>
      </c>
      <c r="Z6" s="234">
        <f>Y6/'National data'!$S8/'Assumptions data'!$AA7</f>
        <v>8.5135830905079164</v>
      </c>
      <c r="AA6" s="230">
        <f>'Supply calc &gt;&gt;&gt;'!M6*'Farms proportions'!$AL7</f>
        <v>1073400.3574089839</v>
      </c>
      <c r="AB6" s="118">
        <f>AA6/'National data'!$T8/'Assumptions data'!$AA7</f>
        <v>5.3007425057233775</v>
      </c>
      <c r="AC6" s="118">
        <f>Z6*'National data'!$V8+AB6*'National data'!$X7</f>
        <v>6345.0510036348387</v>
      </c>
      <c r="AD6" s="191">
        <f>'Supply calc &gt;&gt;&gt;'!O6*'Farms proportions'!AK7</f>
        <v>18674119.728774432</v>
      </c>
      <c r="AE6" s="118">
        <f>AD6/'National data'!$S8/'Assumptions data'!$AA7</f>
        <v>355.69751864332255</v>
      </c>
      <c r="AF6" s="240">
        <f>'Supply calc &gt;&gt;&gt;'!O6*'Farms proportions'!AL7</f>
        <v>44846669.091292419</v>
      </c>
      <c r="AG6" s="118">
        <f>AF6/'National data'!$T8/'Assumptions data'!$AA7</f>
        <v>221.46503254959219</v>
      </c>
      <c r="AH6" s="178">
        <f>AE6*'National data'!V7+AG6*'National data'!X7</f>
        <v>265096.24369257066</v>
      </c>
      <c r="AI6" s="191">
        <f>'Supply calc &gt;&gt;&gt;'!Q6*'Farms proportions'!$AK7</f>
        <v>19989864.423394851</v>
      </c>
      <c r="AJ6" s="118">
        <f>AI6/'National data'!$S8/'Assumptions data'!$AA7</f>
        <v>380.75932235037811</v>
      </c>
      <c r="AK6" s="240">
        <f>'Supply calc &gt;&gt;&gt;'!Q6*'Farms proportions'!$AL7</f>
        <v>48006484.267873064</v>
      </c>
      <c r="AL6" s="118">
        <f>AK6/'National data'!$T8/'Assumptions data'!$AA7</f>
        <v>237.0690581129534</v>
      </c>
      <c r="AM6" s="178">
        <f>AJ6*'National data'!$V7+AL6*'National data'!$X7</f>
        <v>283774.44546423684</v>
      </c>
      <c r="AN6" s="191">
        <f>'Supply calc &gt;&gt;&gt;'!S6*'Farms proportions'!$AK7</f>
        <v>2783164.8111746637</v>
      </c>
      <c r="AO6" s="118">
        <f>AN6/'National data'!$S8/'Assumptions data'!$AA7</f>
        <v>53.012663069993593</v>
      </c>
      <c r="AP6" s="240">
        <f>'Supply calc &gt;&gt;&gt;'!S6*'Farms proportions'!$AL7</f>
        <v>6683885.137619338</v>
      </c>
      <c r="AQ6" s="118">
        <f>AP6/'National data'!$T8/'Assumptions data'!$AA7</f>
        <v>33.006840185774514</v>
      </c>
      <c r="AR6" s="178">
        <f>AO6*'National data'!$V7+AQ6*'National data'!$X7</f>
        <v>39509.575162618268</v>
      </c>
      <c r="AS6" s="191">
        <f>'Supply calc &gt;&gt;&gt;'!U6*'Farms proportions'!$AK7</f>
        <v>6959184.4804348368</v>
      </c>
      <c r="AT6" s="118">
        <f>AS6/'National data'!$S8/'Assumptions data'!$AA7</f>
        <v>132.55589486542547</v>
      </c>
      <c r="AU6" s="240">
        <f>'Supply calc &gt;&gt;&gt;'!U6*'Farms proportions'!$AL7</f>
        <v>16712768.691228773</v>
      </c>
      <c r="AV6" s="118">
        <f>AU6/'National data'!$T8/'Assumptions data'!$AA7</f>
        <v>82.532191067796418</v>
      </c>
      <c r="AW6" s="178">
        <f>AT6*'National data'!$V7+AV6*'National data'!$X7</f>
        <v>98792.001535913121</v>
      </c>
      <c r="AX6" s="191">
        <f>'Supply calc &gt;&gt;&gt;'!W6*'Farms proportions'!$AK7</f>
        <v>140774.8310983468</v>
      </c>
      <c r="AY6" s="118">
        <f>AX6/'National data'!$S8/'Assumptions data'!$AA7</f>
        <v>2.681425354254225</v>
      </c>
      <c r="AZ6" s="240">
        <f>'Supply calc &gt;&gt;&gt;'!W6*'Farms proportions'!$AL7</f>
        <v>338076.56576830114</v>
      </c>
      <c r="BA6" s="118">
        <f>AZ6/'National data'!$T8/'Assumptions data'!$AA7</f>
        <v>1.6695139050286476</v>
      </c>
      <c r="BB6" s="118">
        <f>AY6*'National data'!$V7+BA6*'National data'!$X7</f>
        <v>1998.4277423863889</v>
      </c>
      <c r="BC6" s="78">
        <f>'Supply calc &gt;&gt;&gt;'!Y6*'Farms proportions'!AK7</f>
        <v>20844734.235009503</v>
      </c>
      <c r="BD6" s="234">
        <f>BC6/'National data'!$S8/'Assumptions data'!$AA7</f>
        <v>397.04255685732386</v>
      </c>
      <c r="BE6" s="118">
        <f>'Supply calc &gt;&gt;&gt;'!Y6*'Farms proportions'!AL7</f>
        <v>50059489.395528093</v>
      </c>
      <c r="BF6" s="234">
        <f>BE6/'National data'!$T8/'Assumptions data'!$AA7</f>
        <v>247.20735503964491</v>
      </c>
      <c r="BG6" s="235">
        <f>BD6*'National data'!$V7+BF6*'National data'!$X7</f>
        <v>295910.10589678853</v>
      </c>
      <c r="BH6" s="118">
        <f>'Supply calc &gt;&gt;&gt;'!F6*'National data'!Z8/1000000</f>
        <v>244584.29118003539</v>
      </c>
      <c r="BI6" s="192">
        <f>'Supply calc &gt;&gt;&gt;'!F6*Multipliers!E6</f>
        <v>38372705983.225197</v>
      </c>
      <c r="BJ6" s="247">
        <f>'Supply calc &gt;&gt;&gt;'!H6*'National data'!$Z8/1000000</f>
        <v>79974.289469660303</v>
      </c>
      <c r="BK6" s="229">
        <f>'Supply calc &gt;&gt;&gt;'!H6*Multipliers!$E6</f>
        <v>12547125905.881222</v>
      </c>
      <c r="BL6" s="247">
        <f>'Supply calc &gt;&gt;&gt;'!J6*'National data'!$Z8/1000000</f>
        <v>28276.864944064353</v>
      </c>
      <c r="BM6" s="229">
        <f>'Supply calc &gt;&gt;&gt;'!J6*Multipliers!$E6</f>
        <v>4436343067.6226473</v>
      </c>
      <c r="BN6" s="247">
        <f>'Supply calc &gt;&gt;&gt;'!L6*'National data'!$Z8/1000000</f>
        <v>139215.3238051981</v>
      </c>
      <c r="BO6" s="229">
        <f>'Supply calc &gt;&gt;&gt;'!L6*Multipliers!$E6</f>
        <v>21841421879.396694</v>
      </c>
      <c r="BP6" s="247">
        <f>'Supply calc &gt;&gt;&gt;'!N6*'National data'!$Z8/1000000</f>
        <v>1444.6336112534195</v>
      </c>
      <c r="BQ6" s="229">
        <f>'Supply calc &gt;&gt;&gt;'!N6*Multipliers!$E6</f>
        <v>226647838.05476567</v>
      </c>
      <c r="BR6" s="118">
        <f>'Supply calc &gt;&gt;&gt;'!P6*'National data'!Z8/1000000</f>
        <v>32049.202813474356</v>
      </c>
      <c r="BS6" s="192">
        <f>'Supply calc &gt;&gt;&gt;'!P6*Multipliers!E6</f>
        <v>5028183251.7729206</v>
      </c>
      <c r="BT6" s="118">
        <f>'Supply calc &gt;&gt;&gt;'!R6*'National data'!$Z8/1000000</f>
        <v>34307.331666727157</v>
      </c>
      <c r="BU6" s="192">
        <f>'Supply calc &gt;&gt;&gt;'!R6*Multipliers!$E6</f>
        <v>5382459947.7129917</v>
      </c>
      <c r="BV6" s="118">
        <f>'Supply calc &gt;&gt;&gt;'!T6*'National data'!$Z8/1000000</f>
        <v>4776.5685768426783</v>
      </c>
      <c r="BW6" s="240">
        <f>'Supply calc &gt;&gt;&gt;'!T6*Multipliers!$E6</f>
        <v>749393432.92893314</v>
      </c>
      <c r="BX6" s="78">
        <f>'Supply calc &gt;&gt;&gt;'!V6*'National data'!$Z8/1000000</f>
        <v>11943.605271319366</v>
      </c>
      <c r="BY6" s="192">
        <f>'Supply calc &gt;&gt;&gt;'!V6*Multipliers!$E6</f>
        <v>1873826202.1851664</v>
      </c>
      <c r="BZ6" s="118">
        <f>'Supply calc &gt;&gt;&gt;'!X6*'National data'!$Z8/1000000</f>
        <v>241.60288026597192</v>
      </c>
      <c r="CA6" s="192">
        <f>'Supply calc &gt;&gt;&gt;'!X6*Multipliers!$E6</f>
        <v>37904953.929859169</v>
      </c>
      <c r="CB6" s="234">
        <f>'Supply calc &gt;&gt;&gt;'!Z6*'National data'!$Z8/1000000</f>
        <v>35774.490299609752</v>
      </c>
      <c r="CC6" s="229">
        <f>'Supply calc &gt;&gt;&gt;'!Z6*Multipliers!$E6</f>
        <v>5612641725.0410919</v>
      </c>
    </row>
    <row r="7" spans="1:81">
      <c r="A7" s="9">
        <v>6</v>
      </c>
      <c r="B7" s="1" t="s">
        <v>337</v>
      </c>
      <c r="C7" s="1" t="s">
        <v>338</v>
      </c>
      <c r="D7" s="1">
        <v>0</v>
      </c>
      <c r="E7" s="191">
        <f>'Supply calc &gt;&gt;&gt;'!E7*'Farms proportions'!AK8</f>
        <v>6154842.2497045835</v>
      </c>
      <c r="F7" s="118">
        <f>E7/'National data'!$S9/'Assumptions data'!$AA8</f>
        <v>117.23509047056349</v>
      </c>
      <c r="G7" s="240">
        <f>'Supply calc &gt;&gt;&gt;'!E7*'Farms proportions'!AL8</f>
        <v>11359363.915519169</v>
      </c>
      <c r="H7" s="118">
        <f>G7/'National data'!$T9/'Assumptions data'!$AA8</f>
        <v>56.095624274168735</v>
      </c>
      <c r="I7" s="118">
        <f>F7*'National data'!V9+H7*'National data'!X8</f>
        <v>73416.291549163536</v>
      </c>
      <c r="J7" s="242">
        <f>'Supply calc &gt;&gt;&gt;'!G7*'Farms proportions'!$AK8</f>
        <v>1325649.9404895231</v>
      </c>
      <c r="K7" s="234">
        <f>J7/'National data'!$S9/'Assumptions data'!$AA8</f>
        <v>25.250475056943298</v>
      </c>
      <c r="L7" s="230">
        <f>'Supply calc &gt;&gt;&gt;'!G7*'Farms proportions'!$AL8</f>
        <v>2446616.7429928184</v>
      </c>
      <c r="M7" s="118">
        <f>L7/'National data'!$T9/'Assumptions data'!$AA8</f>
        <v>12.082057990087993</v>
      </c>
      <c r="N7" s="118">
        <f>K7*'National data'!$V9+M7*'National data'!$X8</f>
        <v>15812.639637966584</v>
      </c>
      <c r="O7" s="242">
        <f>'Supply calc &gt;&gt;&gt;'!I7*'Farms proportions'!$AK8</f>
        <v>789207.64858490392</v>
      </c>
      <c r="P7" s="234">
        <f>O7/'National data'!$S9/'Assumptions data'!$AA8</f>
        <v>15.032526639712456</v>
      </c>
      <c r="Q7" s="230">
        <f>'Supply calc &gt;&gt;&gt;'!I7*'Farms proportions'!$AL8</f>
        <v>1456559.9769218101</v>
      </c>
      <c r="R7" s="118">
        <f>Q7/'National data'!$T9/'Assumptions data'!$AA8</f>
        <v>7.192888774922519</v>
      </c>
      <c r="S7" s="118">
        <f>P7*'National data'!$V9+R7*'National data'!$X8</f>
        <v>9413.8397818595786</v>
      </c>
      <c r="T7" s="242">
        <f>'Supply calc &gt;&gt;&gt;'!K7*'Farms proportions'!$AK8</f>
        <v>3673399.1685907128</v>
      </c>
      <c r="U7" s="234">
        <f>T7/'National data'!$S9/'Assumptions data'!$AA8</f>
        <v>69.969507973156439</v>
      </c>
      <c r="V7" s="230">
        <f>'Supply calc &gt;&gt;&gt;'!K7*'Farms proportions'!$AL8</f>
        <v>6779617.7822413342</v>
      </c>
      <c r="W7" s="118">
        <f>V7/'National data'!$T9/'Assumptions data'!$AA8</f>
        <v>33.479593986376962</v>
      </c>
      <c r="X7" s="118">
        <f>U7*'National data'!$V9+W7*'National data'!$X8</f>
        <v>43817.100974546513</v>
      </c>
      <c r="Y7" s="242">
        <f>'Supply calc &gt;&gt;&gt;'!M7*'Farms proportions'!$AK8</f>
        <v>164743.1009970044</v>
      </c>
      <c r="Z7" s="234">
        <f>Y7/'National data'!$S9/'Assumptions data'!$AA8</f>
        <v>3.1379638285143696</v>
      </c>
      <c r="AA7" s="230">
        <f>'Supply calc &gt;&gt;&gt;'!M7*'Farms proportions'!$AL8</f>
        <v>304049.52082824265</v>
      </c>
      <c r="AB7" s="118">
        <f>AA7/'National data'!$T9/'Assumptions data'!$AA8</f>
        <v>1.5014791152011984</v>
      </c>
      <c r="AC7" s="118">
        <f>Z7*'National data'!$V9+AB7*'National data'!$X8</f>
        <v>1965.0913935430092</v>
      </c>
      <c r="AD7" s="191">
        <f>'Supply calc &gt;&gt;&gt;'!O7*'Farms proportions'!AK8</f>
        <v>1175610.3310632952</v>
      </c>
      <c r="AE7" s="118">
        <f>AD7/'National data'!$S9/'Assumptions data'!$AA8</f>
        <v>22.392577734538957</v>
      </c>
      <c r="AF7" s="240">
        <f>'Supply calc &gt;&gt;&gt;'!O7*'Farms proportions'!AL8</f>
        <v>2169703.9552935585</v>
      </c>
      <c r="AG7" s="118">
        <f>AF7/'National data'!$T9/'Assumptions data'!$AA8</f>
        <v>10.714587433548438</v>
      </c>
      <c r="AH7" s="178">
        <f>AE7*'National data'!V8+AG7*'National data'!X8</f>
        <v>14022.934676789508</v>
      </c>
      <c r="AI7" s="191">
        <f>'Supply calc &gt;&gt;&gt;'!Q7*'Farms proportions'!$AK8</f>
        <v>983359.47866513487</v>
      </c>
      <c r="AJ7" s="118">
        <f>AI7/'National data'!$S9/'Assumptions data'!$AA8</f>
        <v>18.73065673647876</v>
      </c>
      <c r="AK7" s="240">
        <f>'Supply calc &gt;&gt;&gt;'!Q7*'Farms proportions'!$AL8</f>
        <v>1814886.1863142992</v>
      </c>
      <c r="AL7" s="118">
        <f>AK7/'National data'!$T9/'Assumptions data'!$AA8</f>
        <v>8.9624009200706141</v>
      </c>
      <c r="AM7" s="178">
        <f>AJ7*'National data'!$V8+AL7*'National data'!$X8</f>
        <v>11729.72486610492</v>
      </c>
      <c r="AN7" s="191">
        <f>'Supply calc &gt;&gt;&gt;'!S7*'Farms proportions'!$AK8</f>
        <v>174071.60493961506</v>
      </c>
      <c r="AO7" s="118">
        <f>AN7/'National data'!$S9/'Assumptions data'!$AA8</f>
        <v>3.3156496178974297</v>
      </c>
      <c r="AP7" s="240">
        <f>'Supply calc &gt;&gt;&gt;'!S7*'Farms proportions'!$AL8</f>
        <v>321266.18809157598</v>
      </c>
      <c r="AQ7" s="118">
        <f>AP7/'National data'!$T9/'Assumptions data'!$AA8</f>
        <v>1.5864996942793876</v>
      </c>
      <c r="AR7" s="178">
        <f>AO7*'National data'!$V8+AQ7*'National data'!$X8</f>
        <v>2076.3638092090805</v>
      </c>
      <c r="AS7" s="191">
        <f>'Supply calc &gt;&gt;&gt;'!U7*'Farms proportions'!$AK8</f>
        <v>322082.12560635147</v>
      </c>
      <c r="AT7" s="118">
        <f>AS7/'National data'!$S9/'Assumptions data'!$AA8</f>
        <v>6.1348976305971705</v>
      </c>
      <c r="AU7" s="240">
        <f>'Supply calc &gt;&gt;&gt;'!U7*'Farms proportions'!$AL8</f>
        <v>594434.09384247113</v>
      </c>
      <c r="AV7" s="118">
        <f>AU7/'National data'!$T9/'Assumptions data'!$AA8</f>
        <v>2.9354770066294873</v>
      </c>
      <c r="AW7" s="178">
        <f>AT7*'National data'!$V8+AV7*'National data'!$X8</f>
        <v>3841.8653601439028</v>
      </c>
      <c r="AX7" s="191">
        <f>'Supply calc &gt;&gt;&gt;'!W7*'Farms proportions'!$AK8</f>
        <v>19662.049752301959</v>
      </c>
      <c r="AY7" s="118">
        <f>AX7/'National data'!$S9/'Assumptions data'!$AA8</f>
        <v>0.37451523337718018</v>
      </c>
      <c r="AZ7" s="240">
        <f>'Supply calc &gt;&gt;&gt;'!W7*'Farms proportions'!$AL8</f>
        <v>36288.237683453481</v>
      </c>
      <c r="BA7" s="118">
        <f>AZ7/'National data'!$T9/'Assumptions data'!$AA8</f>
        <v>0.1792011737454493</v>
      </c>
      <c r="BB7" s="118">
        <f>AY7*'National data'!$V8+BA7*'National data'!$X8</f>
        <v>234.53318842386977</v>
      </c>
      <c r="BC7" s="78">
        <f>'Supply calc &gt;&gt;&gt;'!Y7*'Farms proportions'!AK8</f>
        <v>1327040.0000102452</v>
      </c>
      <c r="BD7" s="234">
        <f>BC7/'National data'!$S9/'Assumptions data'!$AA8</f>
        <v>25.276952381147531</v>
      </c>
      <c r="BE7" s="118">
        <f>'Supply calc &gt;&gt;&gt;'!Y7*'Farms proportions'!AL8</f>
        <v>2449182.2339216676</v>
      </c>
      <c r="BF7" s="234">
        <f>BE7/'National data'!$T9/'Assumptions data'!$AA8</f>
        <v>12.094727081094655</v>
      </c>
      <c r="BG7" s="235">
        <f>BD7*'National data'!$V8+BF7*'National data'!$X8</f>
        <v>15829.220569029265</v>
      </c>
      <c r="BH7" s="118">
        <f>'Supply calc &gt;&gt;&gt;'!F7*'National data'!Z9/1000000</f>
        <v>38959.428269491102</v>
      </c>
      <c r="BI7" s="192">
        <f>'Supply calc &gt;&gt;&gt;'!F7*Multipliers!E7</f>
        <v>6112325035.4590406</v>
      </c>
      <c r="BJ7" s="247">
        <f>'Supply calc &gt;&gt;&gt;'!H7*'National data'!$Z9/1000000</f>
        <v>8391.2083643468886</v>
      </c>
      <c r="BK7" s="229">
        <f>'Supply calc &gt;&gt;&gt;'!H7*Multipliers!$E7</f>
        <v>1316492444.6110399</v>
      </c>
      <c r="BL7" s="247">
        <f>'Supply calc &gt;&gt;&gt;'!J7*'National data'!$Z9/1000000</f>
        <v>4995.5916865705349</v>
      </c>
      <c r="BM7" s="229">
        <f>'Supply calc &gt;&gt;&gt;'!J7*Multipliers!$E7</f>
        <v>783755858.05676866</v>
      </c>
      <c r="BN7" s="247">
        <f>'Supply calc &gt;&gt;&gt;'!L7*'National data'!$Z9/1000000</f>
        <v>23252.185126399825</v>
      </c>
      <c r="BO7" s="229">
        <f>'Supply calc &gt;&gt;&gt;'!L7*Multipliers!$E7</f>
        <v>3648023587.3615003</v>
      </c>
      <c r="BP7" s="247">
        <f>'Supply calc &gt;&gt;&gt;'!N7*'National data'!$Z9/1000000</f>
        <v>1042.8044726076259</v>
      </c>
      <c r="BQ7" s="229">
        <f>'Supply calc &gt;&gt;&gt;'!N7*Multipliers!$E7</f>
        <v>163605067.32588944</v>
      </c>
      <c r="BR7" s="118">
        <f>'Supply calc &gt;&gt;&gt;'!P7*'National data'!Z9/1000000</f>
        <v>3768.7221755325081</v>
      </c>
      <c r="BS7" s="192">
        <f>'Supply calc &gt;&gt;&gt;'!P7*Multipliers!E7</f>
        <v>591272919.76294458</v>
      </c>
      <c r="BT7" s="118">
        <f>'Supply calc &gt;&gt;&gt;'!R7*'National data'!$Z9/1000000</f>
        <v>3152.41247532542</v>
      </c>
      <c r="BU7" s="192">
        <f>'Supply calc &gt;&gt;&gt;'!R7*Multipliers!$E7</f>
        <v>494580401.99512041</v>
      </c>
      <c r="BV7" s="118">
        <f>'Supply calc &gt;&gt;&gt;'!T7*'National data'!$Z9/1000000</f>
        <v>558.031432977549</v>
      </c>
      <c r="BW7" s="240">
        <f>'Supply calc &gt;&gt;&gt;'!T7*Multipliers!$E7</f>
        <v>87549269.839588165</v>
      </c>
      <c r="BX7" s="78">
        <f>'Supply calc &gt;&gt;&gt;'!V7*'National data'!$Z9/1000000</f>
        <v>1032.517337626178</v>
      </c>
      <c r="BY7" s="192">
        <f>'Supply calc &gt;&gt;&gt;'!V7*Multipliers!$E7</f>
        <v>161991123.91133758</v>
      </c>
      <c r="BZ7" s="118">
        <f>'Supply calc &gt;&gt;&gt;'!X7*'National data'!$Z9/1000000</f>
        <v>63.031772484427279</v>
      </c>
      <c r="CA7" s="192">
        <f>'Supply calc &gt;&gt;&gt;'!X7*Multipliers!$E7</f>
        <v>9889022.9682252891</v>
      </c>
      <c r="CB7" s="234">
        <f>'Supply calc &gt;&gt;&gt;'!Z7*'National data'!$Z9/1000000</f>
        <v>4254.1690419935585</v>
      </c>
      <c r="CC7" s="229">
        <f>'Supply calc &gt;&gt;&gt;'!Z7*Multipliers!$E7</f>
        <v>667434433.60062647</v>
      </c>
    </row>
    <row r="8" spans="1:81">
      <c r="A8" s="9">
        <v>7</v>
      </c>
      <c r="B8" s="1" t="s">
        <v>342</v>
      </c>
      <c r="C8" s="1" t="s">
        <v>343</v>
      </c>
      <c r="D8" s="1">
        <v>0</v>
      </c>
      <c r="E8" s="191">
        <f>'Supply calc &gt;&gt;&gt;'!E8*'Farms proportions'!AK9</f>
        <v>14261715.506829467</v>
      </c>
      <c r="F8" s="118">
        <f>E8/'National data'!$S10/'Assumptions data'!$AA9</f>
        <v>271.65172393960887</v>
      </c>
      <c r="G8" s="240">
        <f>'Supply calc &gt;&gt;&gt;'!E8*'Farms proportions'!AL9</f>
        <v>24728936.755541485</v>
      </c>
      <c r="H8" s="118">
        <f>G8/'National data'!$T10/'Assumptions data'!$AA9</f>
        <v>122.11820620020488</v>
      </c>
      <c r="I8" s="118">
        <f>F8*'National data'!V10+H8*'National data'!X9</f>
        <v>163621.18655141888</v>
      </c>
      <c r="J8" s="242">
        <f>'Supply calc &gt;&gt;&gt;'!G8*'Farms proportions'!$AK9</f>
        <v>4282230.5862111486</v>
      </c>
      <c r="K8" s="234">
        <f>J8/'National data'!$S10/'Assumptions data'!$AA9</f>
        <v>81.566296880212363</v>
      </c>
      <c r="L8" s="230">
        <f>'Supply calc &gt;&gt;&gt;'!G8*'Farms proportions'!$AL9</f>
        <v>7425124.2277516471</v>
      </c>
      <c r="M8" s="118">
        <f>L8/'National data'!$T10/'Assumptions data'!$AA9</f>
        <v>36.667280137045168</v>
      </c>
      <c r="N8" s="118">
        <f>K8*'National data'!$V10+M8*'National data'!$X9</f>
        <v>49128.987972528368</v>
      </c>
      <c r="O8" s="242">
        <f>'Supply calc &gt;&gt;&gt;'!I8*'Farms proportions'!$AK9</f>
        <v>2053796.0013911123</v>
      </c>
      <c r="P8" s="234">
        <f>O8/'National data'!$S10/'Assumptions data'!$AA9</f>
        <v>39.119923836021187</v>
      </c>
      <c r="Q8" s="230">
        <f>'Supply calc &gt;&gt;&gt;'!I8*'Farms proportions'!$AL9</f>
        <v>3561155.8373089139</v>
      </c>
      <c r="R8" s="118">
        <f>Q8/'National data'!$T10/'Assumptions data'!$AA9</f>
        <v>17.585954752142786</v>
      </c>
      <c r="S8" s="118">
        <f>P8*'National data'!$V10+R8*'National data'!$X9</f>
        <v>23562.701031390836</v>
      </c>
      <c r="T8" s="242">
        <f>'Supply calc &gt;&gt;&gt;'!K8*'Farms proportions'!$AK9</f>
        <v>7560271.3902747314</v>
      </c>
      <c r="U8" s="234">
        <f>T8/'National data'!$S10/'Assumptions data'!$AA9</f>
        <v>144.00516933856633</v>
      </c>
      <c r="V8" s="230">
        <f>'Supply calc &gt;&gt;&gt;'!K8*'Farms proportions'!$AL9</f>
        <v>13109045.189921631</v>
      </c>
      <c r="W8" s="118">
        <f>V8/'National data'!$T10/'Assumptions data'!$AA9</f>
        <v>64.736025629242619</v>
      </c>
      <c r="X8" s="118">
        <f>U8*'National data'!$V10+W8*'National data'!$X9</f>
        <v>86737.151286963228</v>
      </c>
      <c r="Y8" s="242">
        <f>'Supply calc &gt;&gt;&gt;'!M8*'Farms proportions'!$AK9</f>
        <v>95161.485866739982</v>
      </c>
      <c r="Z8" s="234">
        <f>Y8/'National data'!$S10/'Assumptions data'!$AA9</f>
        <v>1.8125997307950474</v>
      </c>
      <c r="AA8" s="230">
        <f>'Supply calc &gt;&gt;&gt;'!M8*'Farms proportions'!$AL9</f>
        <v>165004.15847133379</v>
      </c>
      <c r="AB8" s="118">
        <f>AA8/'National data'!$T10/'Assumptions data'!$AA9</f>
        <v>0.81483535047572253</v>
      </c>
      <c r="AC8" s="118">
        <f>Z8*'National data'!$V10+AB8*'National data'!$X9</f>
        <v>1091.7645373066027</v>
      </c>
      <c r="AD8" s="191">
        <f>'Supply calc &gt;&gt;&gt;'!O8*'Farms proportions'!AK9</f>
        <v>2910953.6176791033</v>
      </c>
      <c r="AE8" s="118">
        <f>AD8/'National data'!$S10/'Assumptions data'!$AA9</f>
        <v>55.446735574840062</v>
      </c>
      <c r="AF8" s="240">
        <f>'Supply calc &gt;&gt;&gt;'!O8*'Farms proportions'!AL9</f>
        <v>5047414.3784056054</v>
      </c>
      <c r="AG8" s="118">
        <f>AF8/'National data'!$T10/'Assumptions data'!$AA9</f>
        <v>24.92550310323756</v>
      </c>
      <c r="AH8" s="178">
        <f>AE8*'National data'!V9+AG8*'National data'!X9</f>
        <v>33396.661481062278</v>
      </c>
      <c r="AI8" s="191">
        <f>'Supply calc &gt;&gt;&gt;'!Q8*'Farms proportions'!$AK9</f>
        <v>3092811.6614642888</v>
      </c>
      <c r="AJ8" s="118">
        <f>AI8/'National data'!$S10/'Assumptions data'!$AA9</f>
        <v>58.910698313605501</v>
      </c>
      <c r="AK8" s="240">
        <f>'Supply calc &gt;&gt;&gt;'!Q8*'Farms proportions'!$AL9</f>
        <v>5362745.0313762678</v>
      </c>
      <c r="AL8" s="118">
        <f>AK8/'National data'!$T10/'Assumptions data'!$AA9</f>
        <v>26.482691512969222</v>
      </c>
      <c r="AM8" s="178">
        <f>AJ8*'National data'!$V9+AL8*'National data'!$X9</f>
        <v>35483.074500155446</v>
      </c>
      <c r="AN8" s="191">
        <f>'Supply calc &gt;&gt;&gt;'!S8*'Farms proportions'!$AK9</f>
        <v>563630.32967740437</v>
      </c>
      <c r="AO8" s="118">
        <f>AN8/'National data'!$S10/'Assumptions data'!$AA9</f>
        <v>10.735815803379131</v>
      </c>
      <c r="AP8" s="240">
        <f>'Supply calc &gt;&gt;&gt;'!S8*'Farms proportions'!$AL9</f>
        <v>977300.29528517043</v>
      </c>
      <c r="AQ8" s="118">
        <f>AP8/'National data'!$T10/'Assumptions data'!$AA9</f>
        <v>4.8261742977045454</v>
      </c>
      <c r="AR8" s="178">
        <f>AO8*'National data'!$V9+AQ8*'National data'!$X9</f>
        <v>6466.3934204845336</v>
      </c>
      <c r="AS8" s="191">
        <f>'Supply calc &gt;&gt;&gt;'!U8*'Farms proportions'!$AK9</f>
        <v>574363.03361526958</v>
      </c>
      <c r="AT8" s="118">
        <f>AS8/'National data'!$S10/'Assumptions data'!$AA9</f>
        <v>10.940248259338468</v>
      </c>
      <c r="AU8" s="240">
        <f>'Supply calc &gt;&gt;&gt;'!U8*'Farms proportions'!$AL9</f>
        <v>995910.14322164934</v>
      </c>
      <c r="AV8" s="118">
        <f>AU8/'National data'!$T10/'Assumptions data'!$AA9</f>
        <v>4.9180747813414785</v>
      </c>
      <c r="AW8" s="178">
        <f>AT8*'National data'!$V9+AV8*'National data'!$X9</f>
        <v>6589.5271172952471</v>
      </c>
      <c r="AX8" s="191">
        <f>'Supply calc &gt;&gt;&gt;'!W8*'Farms proportions'!$AK9</f>
        <v>11920.843177267072</v>
      </c>
      <c r="AY8" s="118">
        <f>AX8/'National data'!$S10/'Assumptions data'!$AA9</f>
        <v>0.22706367956699183</v>
      </c>
      <c r="AZ8" s="240">
        <f>'Supply calc &gt;&gt;&gt;'!W8*'Farms proportions'!$AL9</f>
        <v>20670.008237241902</v>
      </c>
      <c r="BA8" s="118">
        <f>AZ8/'National data'!$T10/'Assumptions data'!$AA9</f>
        <v>0.10207411475181186</v>
      </c>
      <c r="BB8" s="118">
        <f>AY8*'National data'!$V9+BA8*'National data'!$X9</f>
        <v>136.7649287649717</v>
      </c>
      <c r="BC8" s="78">
        <f>'Supply calc &gt;&gt;&gt;'!Y8*'Farms proportions'!AK9</f>
        <v>3500906.9086212935</v>
      </c>
      <c r="BD8" s="234">
        <f>BC8/'National data'!$S10/'Assumptions data'!$AA9</f>
        <v>66.683941116596074</v>
      </c>
      <c r="BE8" s="118">
        <f>'Supply calc &gt;&gt;&gt;'!Y8*'Farms proportions'!AL9</f>
        <v>6070357.0681154681</v>
      </c>
      <c r="BF8" s="234">
        <f>BE8/'National data'!$T10/'Assumptions data'!$AA9</f>
        <v>29.977071941310953</v>
      </c>
      <c r="BG8" s="235">
        <f>BD8*'National data'!$V9+BF8*'National data'!$X9</f>
        <v>40165.051821456538</v>
      </c>
      <c r="BH8" s="118">
        <f>'Supply calc &gt;&gt;&gt;'!F8*'National data'!Z10/1000000</f>
        <v>21595.049315927008</v>
      </c>
      <c r="BI8" s="192">
        <f>'Supply calc &gt;&gt;&gt;'!F8*Multipliers!E8</f>
        <v>2798812667.1392441</v>
      </c>
      <c r="BJ8" s="247">
        <f>'Supply calc &gt;&gt;&gt;'!H8*'National data'!$Z10/1000000</f>
        <v>6484.1414517852036</v>
      </c>
      <c r="BK8" s="229">
        <f>'Supply calc &gt;&gt;&gt;'!H8*Multipliers!$E8</f>
        <v>840373039.45374405</v>
      </c>
      <c r="BL8" s="247">
        <f>'Supply calc &gt;&gt;&gt;'!J8*'National data'!$Z10/1000000</f>
        <v>3109.8521011484304</v>
      </c>
      <c r="BM8" s="229">
        <f>'Supply calc &gt;&gt;&gt;'!J8*Multipliers!$E8</f>
        <v>403050408.74365741</v>
      </c>
      <c r="BN8" s="247">
        <f>'Supply calc &gt;&gt;&gt;'!L8*'National data'!$Z10/1000000</f>
        <v>11447.741573346693</v>
      </c>
      <c r="BO8" s="229">
        <f>'Supply calc &gt;&gt;&gt;'!L8*Multipliers!$E8</f>
        <v>1483677284.4037323</v>
      </c>
      <c r="BP8" s="247">
        <f>'Supply calc &gt;&gt;&gt;'!N8*'National data'!$Z10/1000000</f>
        <v>144.09325296701235</v>
      </c>
      <c r="BQ8" s="229">
        <f>'Supply calc &gt;&gt;&gt;'!N8*Multipliers!$E8</f>
        <v>18675114.64101797</v>
      </c>
      <c r="BR8" s="118">
        <f>'Supply calc &gt;&gt;&gt;'!P8*'National data'!Z10/1000000</f>
        <v>2173.840002043466</v>
      </c>
      <c r="BS8" s="192">
        <f>'Supply calc &gt;&gt;&gt;'!P8*Multipliers!E8</f>
        <v>281739154.42582434</v>
      </c>
      <c r="BT8" s="118">
        <f>'Supply calc &gt;&gt;&gt;'!R8*'National data'!$Z10/1000000</f>
        <v>2309.6478307469697</v>
      </c>
      <c r="BU8" s="192">
        <f>'Supply calc &gt;&gt;&gt;'!R8*Multipliers!$E8</f>
        <v>299340441.91127163</v>
      </c>
      <c r="BV8" s="118">
        <f>'Supply calc &gt;&gt;&gt;'!T8*'National data'!$Z10/1000000</f>
        <v>420.90748185626234</v>
      </c>
      <c r="BW8" s="240">
        <f>'Supply calc &gt;&gt;&gt;'!T8*Multipliers!$E8</f>
        <v>54551447.171002612</v>
      </c>
      <c r="BX8" s="78">
        <f>'Supply calc &gt;&gt;&gt;'!V8*'National data'!$Z10/1000000</f>
        <v>428.92244334809908</v>
      </c>
      <c r="BY8" s="192">
        <f>'Supply calc &gt;&gt;&gt;'!V8*Multipliers!$E8</f>
        <v>55590221.170626752</v>
      </c>
      <c r="BZ8" s="118">
        <f>'Supply calc &gt;&gt;&gt;'!X8*'National data'!$Z10/1000000</f>
        <v>8.902239320972507</v>
      </c>
      <c r="CA8" s="192">
        <f>'Supply calc &gt;&gt;&gt;'!X8*Multipliers!$E8</f>
        <v>1153769.0797986197</v>
      </c>
      <c r="CB8" s="234">
        <f>'Supply calc &gt;&gt;&gt;'!Z8*'National data'!$Z10/1000000</f>
        <v>2614.4049273650271</v>
      </c>
      <c r="CC8" s="229">
        <f>'Supply calc &gt;&gt;&gt;'!Z8*Multipliers!$E8</f>
        <v>338838292.08687252</v>
      </c>
    </row>
    <row r="9" spans="1:81">
      <c r="A9" s="9">
        <v>8</v>
      </c>
      <c r="B9" s="1" t="s">
        <v>348</v>
      </c>
      <c r="C9" s="1" t="s">
        <v>349</v>
      </c>
      <c r="D9" s="1">
        <v>0</v>
      </c>
      <c r="E9" s="191">
        <f>'Supply calc &gt;&gt;&gt;'!E9*'Farms proportions'!AK10</f>
        <v>20882162.313974369</v>
      </c>
      <c r="F9" s="118">
        <f>E9/'National data'!$S11/'Assumptions data'!$AA10</f>
        <v>397.75547264713083</v>
      </c>
      <c r="G9" s="240">
        <f>'Supply calc &gt;&gt;&gt;'!E9*'Farms proportions'!AL10</f>
        <v>18746957.98493018</v>
      </c>
      <c r="H9" s="118">
        <f>G9/'National data'!$T11/'Assumptions data'!$AA10</f>
        <v>92.577570295951517</v>
      </c>
      <c r="I9" s="118">
        <f>F9*'National data'!V11+H9*'National data'!X10</f>
        <v>168350.58724594317</v>
      </c>
      <c r="J9" s="242">
        <f>'Supply calc &gt;&gt;&gt;'!G9*'Farms proportions'!$AK10</f>
        <v>4379317.1125047216</v>
      </c>
      <c r="K9" s="234">
        <f>J9/'National data'!$S11/'Assumptions data'!$AA10</f>
        <v>83.415564047708983</v>
      </c>
      <c r="L9" s="230">
        <f>'Supply calc &gt;&gt;&gt;'!G9*'Farms proportions'!$AL10</f>
        <v>3931531.2598576583</v>
      </c>
      <c r="M9" s="118">
        <f>L9/'National data'!$T11/'Assumptions data'!$AA10</f>
        <v>19.414969184482263</v>
      </c>
      <c r="N9" s="118">
        <f>K9*'National data'!$V11+M9*'National data'!$X10</f>
        <v>35305.759841403124</v>
      </c>
      <c r="O9" s="242">
        <f>'Supply calc &gt;&gt;&gt;'!I9*'Farms proportions'!$AK10</f>
        <v>6050308.9781809431</v>
      </c>
      <c r="P9" s="234">
        <f>O9/'National data'!$S11/'Assumptions data'!$AA10</f>
        <v>115.24398053677987</v>
      </c>
      <c r="Q9" s="230">
        <f>'Supply calc &gt;&gt;&gt;'!I9*'Farms proportions'!$AL10</f>
        <v>5431663.9486084208</v>
      </c>
      <c r="R9" s="118">
        <f>Q9/'National data'!$T11/'Assumptions data'!$AA10</f>
        <v>26.823031844979855</v>
      </c>
      <c r="S9" s="118">
        <f>P9*'National data'!$V11+R9*'National data'!$X10</f>
        <v>48777.183807949506</v>
      </c>
      <c r="T9" s="242">
        <f>'Supply calc &gt;&gt;&gt;'!K9*'Farms proportions'!$AK10</f>
        <v>11270251.535657315</v>
      </c>
      <c r="U9" s="234">
        <f>T9/'National data'!$S11/'Assumptions data'!$AA10</f>
        <v>214.67145782204409</v>
      </c>
      <c r="V9" s="230">
        <f>'Supply calc &gt;&gt;&gt;'!K9*'Farms proportions'!$AL10</f>
        <v>10117866.571565324</v>
      </c>
      <c r="W9" s="118">
        <f>V9/'National data'!$T11/'Assumptions data'!$AA10</f>
        <v>49.964773192915182</v>
      </c>
      <c r="X9" s="118">
        <f>U9*'National data'!$V11+W9*'National data'!$X10</f>
        <v>90860.009414240136</v>
      </c>
      <c r="Y9" s="242">
        <f>'Supply calc &gt;&gt;&gt;'!M9*'Farms proportions'!$AK10</f>
        <v>233370.55158207001</v>
      </c>
      <c r="Z9" s="234">
        <f>Y9/'National data'!$S11/'Assumptions data'!$AA10</f>
        <v>4.4451533634680009</v>
      </c>
      <c r="AA9" s="230">
        <f>'Supply calc &gt;&gt;&gt;'!M9*'Farms proportions'!$AL10</f>
        <v>209508.37655836533</v>
      </c>
      <c r="AB9" s="118">
        <f>AA9/'National data'!$T11/'Assumptions data'!$AA10</f>
        <v>1.0346092669548905</v>
      </c>
      <c r="AC9" s="118">
        <f>Z9*'National data'!$V11+AB9*'National data'!$X10</f>
        <v>1881.4176814658479</v>
      </c>
      <c r="AD9" s="191">
        <f>'Supply calc &gt;&gt;&gt;'!O9*'Farms proportions'!AK10</f>
        <v>4707920.0051465761</v>
      </c>
      <c r="AE9" s="118">
        <f>AD9/'National data'!$S11/'Assumptions data'!$AA10</f>
        <v>89.674666764696681</v>
      </c>
      <c r="AF9" s="240">
        <f>'Supply calc &gt;&gt;&gt;'!O9*'Farms proportions'!AL10</f>
        <v>4226534.455861018</v>
      </c>
      <c r="AG9" s="118">
        <f>AF9/'National data'!$T11/'Assumptions data'!$AA10</f>
        <v>20.871775090671694</v>
      </c>
      <c r="AH9" s="178">
        <f>AE9*'National data'!V10+AG9*'National data'!X10</f>
        <v>37954.93424753975</v>
      </c>
      <c r="AI9" s="191">
        <f>'Supply calc &gt;&gt;&gt;'!Q9*'Farms proportions'!$AK10</f>
        <v>3607714.4926758381</v>
      </c>
      <c r="AJ9" s="118">
        <f>AI9/'National data'!$S11/'Assumptions data'!$AA10</f>
        <v>68.718371289063583</v>
      </c>
      <c r="AK9" s="240">
        <f>'Supply calc &gt;&gt;&gt;'!Q9*'Farms proportions'!$AL10</f>
        <v>3238825.1273459885</v>
      </c>
      <c r="AL9" s="118">
        <f>AK9/'National data'!$T11/'Assumptions data'!$AA10</f>
        <v>15.994198159733276</v>
      </c>
      <c r="AM9" s="178">
        <f>AJ9*'National data'!$V10+AL9*'National data'!$X10</f>
        <v>29085.151447713375</v>
      </c>
      <c r="AN9" s="191">
        <f>'Supply calc &gt;&gt;&gt;'!S9*'Farms proportions'!$AK10</f>
        <v>1438157.343741538</v>
      </c>
      <c r="AO9" s="118">
        <f>AN9/'National data'!$S11/'Assumptions data'!$AA10</f>
        <v>27.393473214124533</v>
      </c>
      <c r="AP9" s="240">
        <f>'Supply calc &gt;&gt;&gt;'!S9*'Farms proportions'!$AL10</f>
        <v>1291105.5327253642</v>
      </c>
      <c r="AQ9" s="118">
        <f>AP9/'National data'!$T11/'Assumptions data'!$AA10</f>
        <v>6.3758297912363666</v>
      </c>
      <c r="AR9" s="178">
        <f>AO9*'National data'!$V10+AQ9*'National data'!$X10</f>
        <v>11594.327720024006</v>
      </c>
      <c r="AS9" s="191">
        <f>'Supply calc &gt;&gt;&gt;'!U9*'Farms proportions'!$AK10</f>
        <v>1525203.9478662473</v>
      </c>
      <c r="AT9" s="118">
        <f>AS9/'National data'!$S11/'Assumptions data'!$AA10</f>
        <v>29.051503768880902</v>
      </c>
      <c r="AU9" s="240">
        <f>'Supply calc &gt;&gt;&gt;'!U9*'Farms proportions'!$AL10</f>
        <v>1369251.6081040013</v>
      </c>
      <c r="AV9" s="118">
        <f>AU9/'National data'!$T11/'Assumptions data'!$AA10</f>
        <v>6.7617363363160568</v>
      </c>
      <c r="AW9" s="178">
        <f>AT9*'National data'!$V10+AV9*'National data'!$X10</f>
        <v>12296.09158440855</v>
      </c>
      <c r="AX9" s="191">
        <f>'Supply calc &gt;&gt;&gt;'!W9*'Farms proportions'!$AK10</f>
        <v>29776.82862066698</v>
      </c>
      <c r="AY9" s="118">
        <f>AX9/'National data'!$S11/'Assumptions data'!$AA10</f>
        <v>0.56717768801270441</v>
      </c>
      <c r="AZ9" s="240">
        <f>'Supply calc &gt;&gt;&gt;'!W9*'Farms proportions'!$AL10</f>
        <v>26732.143284919563</v>
      </c>
      <c r="BA9" s="118">
        <f>AZ9/'National data'!$T11/'Assumptions data'!$AA10</f>
        <v>0.13201058412305958</v>
      </c>
      <c r="BB9" s="118">
        <f>AY9*'National data'!$V10+BA9*'National data'!$X10</f>
        <v>240.05878841658193</v>
      </c>
      <c r="BC9" s="78">
        <f>'Supply calc &gt;&gt;&gt;'!Y9*'Farms proportions'!AK10</f>
        <v>5071321.6016872907</v>
      </c>
      <c r="BD9" s="234">
        <f>BC9/'National data'!$S11/'Assumptions data'!$AA10</f>
        <v>96.596601936900782</v>
      </c>
      <c r="BE9" s="118">
        <f>'Supply calc &gt;&gt;&gt;'!Y9*'Farms proportions'!AL10</f>
        <v>4552778.1829029387</v>
      </c>
      <c r="BF9" s="234">
        <f>BE9/'National data'!$T11/'Assumptions data'!$AA10</f>
        <v>22.482855224212042</v>
      </c>
      <c r="BG9" s="235">
        <f>BD9*'National data'!$V10+BF9*'National data'!$X10</f>
        <v>40884.653462623224</v>
      </c>
      <c r="BH9" s="118">
        <f>'Supply calc &gt;&gt;&gt;'!F9*'National data'!Z11/1000000</f>
        <v>7153.4310597659123</v>
      </c>
      <c r="BI9" s="192">
        <f>'Supply calc &gt;&gt;&gt;'!F9*Multipliers!E9</f>
        <v>927115894.51263511</v>
      </c>
      <c r="BJ9" s="247">
        <f>'Supply calc &gt;&gt;&gt;'!H9*'National data'!$Z11/1000000</f>
        <v>1500.1867422604732</v>
      </c>
      <c r="BK9" s="229">
        <f>'Supply calc &gt;&gt;&gt;'!H9*Multipliers!$E9</f>
        <v>194430751.04330826</v>
      </c>
      <c r="BL9" s="247">
        <f>'Supply calc &gt;&gt;&gt;'!J9*'National data'!$Z11/1000000</f>
        <v>2072.6047195187621</v>
      </c>
      <c r="BM9" s="229">
        <f>'Supply calc &gt;&gt;&gt;'!J9*Multipliers!$E9</f>
        <v>268618619.85577404</v>
      </c>
      <c r="BN9" s="247">
        <f>'Supply calc &gt;&gt;&gt;'!L9*'National data'!$Z11/1000000</f>
        <v>3860.7576253055863</v>
      </c>
      <c r="BO9" s="229">
        <f>'Supply calc &gt;&gt;&gt;'!L9*Multipliers!$E9</f>
        <v>500371042.84315234</v>
      </c>
      <c r="BP9" s="247">
        <f>'Supply calc &gt;&gt;&gt;'!N9*'National data'!$Z11/1000000</f>
        <v>79.943835653682171</v>
      </c>
      <c r="BQ9" s="229">
        <f>'Supply calc &gt;&gt;&gt;'!N9*Multipliers!$E9</f>
        <v>10361070.105183911</v>
      </c>
      <c r="BR9" s="118">
        <f>'Supply calc &gt;&gt;&gt;'!P9*'National data'!Z11/1000000</f>
        <v>837.07557046212389</v>
      </c>
      <c r="BS9" s="192">
        <f>'Supply calc &gt;&gt;&gt;'!P9*Multipliers!E9</f>
        <v>108488648.28635983</v>
      </c>
      <c r="BT9" s="118">
        <f>'Supply calc &gt;&gt;&gt;'!R9*'National data'!$Z11/1000000</f>
        <v>641.45730252846067</v>
      </c>
      <c r="BU9" s="192">
        <f>'Supply calc &gt;&gt;&gt;'!R9*Multipliers!$E9</f>
        <v>83135666.76699011</v>
      </c>
      <c r="BV9" s="118">
        <f>'Supply calc &gt;&gt;&gt;'!T9*'National data'!$Z11/1000000</f>
        <v>255.70663426964074</v>
      </c>
      <c r="BW9" s="240">
        <f>'Supply calc &gt;&gt;&gt;'!T9*Multipliers!$E9</f>
        <v>33140696.119530518</v>
      </c>
      <c r="BX9" s="78">
        <f>'Supply calc &gt;&gt;&gt;'!V9*'National data'!$Z11/1000000</f>
        <v>271.18365718524421</v>
      </c>
      <c r="BY9" s="192">
        <f>'Supply calc &gt;&gt;&gt;'!V9*Multipliers!$E9</f>
        <v>35146585.856204912</v>
      </c>
      <c r="BZ9" s="118">
        <f>'Supply calc &gt;&gt;&gt;'!X9*'National data'!$Z11/1000000</f>
        <v>5.2943668917377202</v>
      </c>
      <c r="CA9" s="192">
        <f>'Supply calc &gt;&gt;&gt;'!X9*Multipliers!$E9</f>
        <v>686173.06236709864</v>
      </c>
      <c r="CB9" s="234">
        <f>'Supply calc &gt;&gt;&gt;'!Z9*'National data'!$Z11/1000000</f>
        <v>901.68894503064416</v>
      </c>
      <c r="CC9" s="229">
        <f>'Supply calc &gt;&gt;&gt;'!Z9*Multipliers!$E9</f>
        <v>116862823.70792796</v>
      </c>
    </row>
    <row r="10" spans="1:81">
      <c r="A10" s="9">
        <v>9</v>
      </c>
      <c r="B10" s="1" t="s">
        <v>353</v>
      </c>
      <c r="C10" s="1" t="s">
        <v>354</v>
      </c>
      <c r="D10" s="1">
        <v>0</v>
      </c>
      <c r="E10" s="191">
        <f>'Supply calc &gt;&gt;&gt;'!E10*'Farms proportions'!AK11</f>
        <v>77567997.274748087</v>
      </c>
      <c r="F10" s="118">
        <f>E10/'National data'!$S12/'Assumptions data'!$AA11</f>
        <v>1477.4856623761541</v>
      </c>
      <c r="G10" s="240">
        <f>'Supply calc &gt;&gt;&gt;'!E10*'Farms proportions'!AL11</f>
        <v>182891892.47987968</v>
      </c>
      <c r="H10" s="118">
        <f>G10/'National data'!$T12/'Assumptions data'!$AA11</f>
        <v>903.16983940681325</v>
      </c>
      <c r="I10" s="118">
        <f>F10*'National data'!V12+H10*'National data'!X11</f>
        <v>1087317.4753589192</v>
      </c>
      <c r="J10" s="242">
        <f>'Supply calc &gt;&gt;&gt;'!G10*'Farms proportions'!$AK11</f>
        <v>15181955.132877683</v>
      </c>
      <c r="K10" s="234">
        <f>J10/'National data'!$S12/'Assumptions data'!$AA11</f>
        <v>289.18009776909878</v>
      </c>
      <c r="L10" s="230">
        <f>'Supply calc &gt;&gt;&gt;'!G10*'Farms proportions'!$AL11</f>
        <v>35796418.669436894</v>
      </c>
      <c r="M10" s="118">
        <f>L10/'National data'!$T12/'Assumptions data'!$AA11</f>
        <v>176.77243787376244</v>
      </c>
      <c r="N10" s="118">
        <f>K10*'National data'!$V12+M10*'National data'!$X11</f>
        <v>212814.63626838959</v>
      </c>
      <c r="O10" s="242">
        <f>'Supply calc &gt;&gt;&gt;'!I10*'Farms proportions'!$AK11</f>
        <v>21571721.340822775</v>
      </c>
      <c r="P10" s="234">
        <f>O10/'National data'!$S12/'Assumptions data'!$AA11</f>
        <v>410.88993030138619</v>
      </c>
      <c r="Q10" s="230">
        <f>'Supply calc &gt;&gt;&gt;'!I10*'Farms proportions'!$AL11</f>
        <v>50862379.830400199</v>
      </c>
      <c r="R10" s="118">
        <f>Q10/'National data'!$T12/'Assumptions data'!$AA11</f>
        <v>251.17224607605038</v>
      </c>
      <c r="S10" s="118">
        <f>P10*'National data'!$V12+R10*'National data'!$X11</f>
        <v>302383.84915843781</v>
      </c>
      <c r="T10" s="242">
        <f>'Supply calc &gt;&gt;&gt;'!K10*'Farms proportions'!$AK11</f>
        <v>39244313.497587532</v>
      </c>
      <c r="U10" s="234">
        <f>T10/'National data'!$S12/'Assumptions data'!$AA11</f>
        <v>747.51073328738164</v>
      </c>
      <c r="V10" s="230">
        <f>'Supply calc &gt;&gt;&gt;'!K10*'Farms proportions'!$AL11</f>
        <v>92531288.892565772</v>
      </c>
      <c r="W10" s="118">
        <f>V10/'National data'!$T12/'Assumptions data'!$AA11</f>
        <v>456.94463650649766</v>
      </c>
      <c r="X10" s="118">
        <f>U10*'National data'!$V12+W10*'National data'!$X11</f>
        <v>550111.24914375227</v>
      </c>
      <c r="Y10" s="242">
        <f>'Supply calc &gt;&gt;&gt;'!M10*'Farms proportions'!$AK11</f>
        <v>1374480.7319732995</v>
      </c>
      <c r="Z10" s="234">
        <f>Y10/'National data'!$S12/'Assumptions data'!$AA11</f>
        <v>26.180585370919992</v>
      </c>
      <c r="AA10" s="230">
        <f>'Supply calc &gt;&gt;&gt;'!M10*'Farms proportions'!$AL11</f>
        <v>3240787.323118926</v>
      </c>
      <c r="AB10" s="118">
        <f>AA10/'National data'!$T12/'Assumptions data'!$AA11</f>
        <v>16.003888015402104</v>
      </c>
      <c r="AC10" s="118">
        <f>Z10*'National data'!$V12+AB10*'National data'!$X11</f>
        <v>19266.926721404656</v>
      </c>
      <c r="AD10" s="191">
        <f>'Supply calc &gt;&gt;&gt;'!O10*'Farms proportions'!AK11</f>
        <v>21558384.467143342</v>
      </c>
      <c r="AE10" s="118">
        <f>AD10/'National data'!$S12/'Assumptions data'!$AA11</f>
        <v>410.63589461225416</v>
      </c>
      <c r="AF10" s="240">
        <f>'Supply calc &gt;&gt;&gt;'!O10*'Farms proportions'!AL11</f>
        <v>50830933.793984473</v>
      </c>
      <c r="AG10" s="118">
        <f>AF10/'National data'!$T12/'Assumptions data'!$AA11</f>
        <v>251.01695700733075</v>
      </c>
      <c r="AH10" s="178">
        <f>AE10*'National data'!V11+AG10*'National data'!X11</f>
        <v>302196.89814348589</v>
      </c>
      <c r="AI10" s="191">
        <f>'Supply calc &gt;&gt;&gt;'!Q10*'Farms proportions'!$AK11</f>
        <v>13123761.475555308</v>
      </c>
      <c r="AJ10" s="118">
        <f>AI10/'National data'!$S12/'Assumptions data'!$AA11</f>
        <v>249.97640905819637</v>
      </c>
      <c r="AK10" s="240">
        <f>'Supply calc &gt;&gt;&gt;'!Q10*'Farms proportions'!$AL11</f>
        <v>30943554.778360024</v>
      </c>
      <c r="AL10" s="118">
        <f>AK10/'National data'!$T12/'Assumptions data'!$AA11</f>
        <v>152.80767791782728</v>
      </c>
      <c r="AM10" s="178">
        <f>AJ10*'National data'!$V11+AL10*'National data'!$X11</f>
        <v>183963.69245256868</v>
      </c>
      <c r="AN10" s="191">
        <f>'Supply calc &gt;&gt;&gt;'!S10*'Farms proportions'!$AK11</f>
        <v>6445710.5484636202</v>
      </c>
      <c r="AO10" s="118">
        <f>AN10/'National data'!$S12/'Assumptions data'!$AA11</f>
        <v>122.77543901835467</v>
      </c>
      <c r="AP10" s="240">
        <f>'Supply calc &gt;&gt;&gt;'!S10*'Farms proportions'!$AL11</f>
        <v>15197868.2189054</v>
      </c>
      <c r="AQ10" s="118">
        <f>AP10/'National data'!$T12/'Assumptions data'!$AA11</f>
        <v>75.051201081014327</v>
      </c>
      <c r="AR10" s="178">
        <f>AO10*'National data'!$V11+AQ10*'National data'!$X11</f>
        <v>90353.418506157759</v>
      </c>
      <c r="AS10" s="191">
        <f>'Supply calc &gt;&gt;&gt;'!U10*'Farms proportions'!$AK11</f>
        <v>6132701.1225556377</v>
      </c>
      <c r="AT10" s="118">
        <f>AS10/'National data'!$S12/'Assumptions data'!$AA11</f>
        <v>116.81335471534548</v>
      </c>
      <c r="AU10" s="240">
        <f>'Supply calc &gt;&gt;&gt;'!U10*'Farms proportions'!$AL11</f>
        <v>14459846.247478427</v>
      </c>
      <c r="AV10" s="118">
        <f>AU10/'National data'!$T12/'Assumptions data'!$AA11</f>
        <v>71.406648135695946</v>
      </c>
      <c r="AW10" s="178">
        <f>AT10*'National data'!$V11+AV10*'National data'!$X11</f>
        <v>85965.776299329664</v>
      </c>
      <c r="AX10" s="191">
        <f>'Supply calc &gt;&gt;&gt;'!W10*'Farms proportions'!$AK11</f>
        <v>312822.79867636086</v>
      </c>
      <c r="AY10" s="118">
        <f>AX10/'National data'!$S12/'Assumptions data'!$AA11</f>
        <v>5.9585294985973505</v>
      </c>
      <c r="AZ10" s="240">
        <f>'Supply calc &gt;&gt;&gt;'!W10*'Farms proportions'!$AL11</f>
        <v>737581.93676346715</v>
      </c>
      <c r="BA10" s="118">
        <f>AZ10/'National data'!$T12/'Assumptions data'!$AA11</f>
        <v>3.6423799346344055</v>
      </c>
      <c r="BB10" s="118">
        <f>AY10*'National data'!$V11+BA10*'National data'!$X11</f>
        <v>4385.0261401840071</v>
      </c>
      <c r="BC10" s="78">
        <f>'Supply calc &gt;&gt;&gt;'!Y10*'Farms proportions'!AK11</f>
        <v>22167625.245265383</v>
      </c>
      <c r="BD10" s="234">
        <f>BC10/'National data'!$S12/'Assumptions data'!$AA11</f>
        <v>422.24048086219778</v>
      </c>
      <c r="BE10" s="118">
        <f>'Supply calc &gt;&gt;&gt;'!Y10*'Farms proportions'!AL11</f>
        <v>52267417.947262064</v>
      </c>
      <c r="BF10" s="234">
        <f>BE10/'National data'!$T12/'Assumptions data'!$AA11</f>
        <v>258.11070591240531</v>
      </c>
      <c r="BG10" s="235">
        <f>BD10*'National data'!$V11+BF10*'National data'!$X11</f>
        <v>310736.99416281446</v>
      </c>
      <c r="BH10" s="118">
        <f>'Supply calc &gt;&gt;&gt;'!F10*'National data'!Z12/1000000</f>
        <v>139773.69735125618</v>
      </c>
      <c r="BI10" s="192">
        <f>'Supply calc &gt;&gt;&gt;'!F10*Multipliers!E10</f>
        <v>20975588961.307209</v>
      </c>
      <c r="BJ10" s="247">
        <f>'Supply calc &gt;&gt;&gt;'!H10*'National data'!$Z12/1000000</f>
        <v>27357.132793139881</v>
      </c>
      <c r="BK10" s="229">
        <f>'Supply calc &gt;&gt;&gt;'!H10*Multipliers!$E10</f>
        <v>4105436026.2556443</v>
      </c>
      <c r="BL10" s="247">
        <f>'Supply calc &gt;&gt;&gt;'!J10*'National data'!$Z12/1000000</f>
        <v>38871.175690639735</v>
      </c>
      <c r="BM10" s="229">
        <f>'Supply calc &gt;&gt;&gt;'!J10*Multipliers!$E10</f>
        <v>5833327866.2624435</v>
      </c>
      <c r="BN10" s="247">
        <f>'Supply calc &gt;&gt;&gt;'!L10*'National data'!$Z12/1000000</f>
        <v>70716.313303029441</v>
      </c>
      <c r="BO10" s="229">
        <f>'Supply calc &gt;&gt;&gt;'!L10*Multipliers!$E10</f>
        <v>10612270754.888456</v>
      </c>
      <c r="BP10" s="247">
        <f>'Supply calc &gt;&gt;&gt;'!N10*'National data'!$Z12/1000000</f>
        <v>2476.7463463764279</v>
      </c>
      <c r="BQ10" s="229">
        <f>'Supply calc &gt;&gt;&gt;'!N10*Multipliers!$E10</f>
        <v>371680897.81910926</v>
      </c>
      <c r="BR10" s="118">
        <f>'Supply calc &gt;&gt;&gt;'!P10*'National data'!Z12/1000000</f>
        <v>19674.068003297056</v>
      </c>
      <c r="BS10" s="192">
        <f>'Supply calc &gt;&gt;&gt;'!P10*Multipliers!E10</f>
        <v>2952452224.2328463</v>
      </c>
      <c r="BT10" s="118">
        <f>'Supply calc &gt;&gt;&gt;'!R10*'National data'!$Z12/1000000</f>
        <v>11976.675530703091</v>
      </c>
      <c r="BU10" s="192">
        <f>'Supply calc &gt;&gt;&gt;'!R10*Multipliers!$E10</f>
        <v>1797318292.4656754</v>
      </c>
      <c r="BV10" s="118">
        <f>'Supply calc &gt;&gt;&gt;'!T10*'National data'!$Z12/1000000</f>
        <v>5882.3214630630537</v>
      </c>
      <c r="BW10" s="240">
        <f>'Supply calc &gt;&gt;&gt;'!T10*Multipliers!$E10</f>
        <v>882749469.21819365</v>
      </c>
      <c r="BX10" s="78">
        <f>'Supply calc &gt;&gt;&gt;'!V10*'National data'!$Z12/1000000</f>
        <v>5596.6707112466465</v>
      </c>
      <c r="BY10" s="192">
        <f>'Supply calc &gt;&gt;&gt;'!V10*Multipliers!$E10</f>
        <v>839882371.40127039</v>
      </c>
      <c r="BZ10" s="118">
        <f>'Supply calc &gt;&gt;&gt;'!X10*'National data'!$Z12/1000000</f>
        <v>285.48043678877519</v>
      </c>
      <c r="CA10" s="192">
        <f>'Supply calc &gt;&gt;&gt;'!X10*Multipliers!$E10</f>
        <v>42841538.945109516</v>
      </c>
      <c r="CB10" s="234">
        <f>'Supply calc &gt;&gt;&gt;'!Z10*'National data'!$Z12/1000000</f>
        <v>20230.057925335168</v>
      </c>
      <c r="CC10" s="229">
        <f>'Supply calc &gt;&gt;&gt;'!Z10*Multipliers!$E10</f>
        <v>3035888638.1812668</v>
      </c>
    </row>
    <row r="11" spans="1:81">
      <c r="A11" s="9">
        <v>10</v>
      </c>
      <c r="B11" s="1" t="s">
        <v>358</v>
      </c>
      <c r="C11" s="1" t="s">
        <v>359</v>
      </c>
      <c r="D11" s="1">
        <v>0</v>
      </c>
      <c r="E11" s="191">
        <f>'Supply calc &gt;&gt;&gt;'!E11*'Farms proportions'!AK12</f>
        <v>113095881.02596471</v>
      </c>
      <c r="F11" s="118">
        <f>E11/'National data'!$S13/'Assumptions data'!$AA12</f>
        <v>2154.207257637423</v>
      </c>
      <c r="G11" s="240">
        <f>'Supply calc &gt;&gt;&gt;'!E11*'Farms proportions'!AL12</f>
        <v>192655025.79099324</v>
      </c>
      <c r="H11" s="118">
        <f>G11/'National data'!$T13/'Assumptions data'!$AA12</f>
        <v>951.38284341231235</v>
      </c>
      <c r="I11" s="118">
        <f>F11*'National data'!V13+H11*'National data'!X12</f>
        <v>1283464.1051728148</v>
      </c>
      <c r="J11" s="242">
        <f>'Supply calc &gt;&gt;&gt;'!G11*'Farms proportions'!$AK12</f>
        <v>26203831.995582756</v>
      </c>
      <c r="K11" s="234">
        <f>J11/'National data'!$S13/'Assumptions data'!$AA12</f>
        <v>499.12060943967157</v>
      </c>
      <c r="L11" s="230">
        <f>'Supply calc &gt;&gt;&gt;'!G11*'Farms proportions'!$AL12</f>
        <v>44637345.614495493</v>
      </c>
      <c r="M11" s="118">
        <f>L11/'National data'!$T13/'Assumptions data'!$AA12</f>
        <v>220.431336367879</v>
      </c>
      <c r="N11" s="118">
        <f>K11*'National data'!$V13+M11*'National data'!$X12</f>
        <v>297373.14462043217</v>
      </c>
      <c r="O11" s="242">
        <f>'Supply calc &gt;&gt;&gt;'!I11*'Farms proportions'!$AK12</f>
        <v>18841969.615949128</v>
      </c>
      <c r="P11" s="234">
        <f>O11/'National data'!$S13/'Assumptions data'!$AA12</f>
        <v>358.89465935141197</v>
      </c>
      <c r="Q11" s="230">
        <f>'Supply calc &gt;&gt;&gt;'!I11*'Farms proportions'!$AL12</f>
        <v>32096660.898555707</v>
      </c>
      <c r="R11" s="118">
        <f>Q11/'National data'!$T13/'Assumptions data'!$AA12</f>
        <v>158.50202912867016</v>
      </c>
      <c r="S11" s="118">
        <f>P11*'National data'!$V13+R11*'National data'!$X12</f>
        <v>213827.34237045771</v>
      </c>
      <c r="T11" s="242">
        <f>'Supply calc &gt;&gt;&gt;'!K11*'Farms proportions'!$AK12</f>
        <v>62843917.714630924</v>
      </c>
      <c r="U11" s="234">
        <f>T11/'National data'!$S13/'Assumptions data'!$AA12</f>
        <v>1197.0270040882083</v>
      </c>
      <c r="V11" s="230">
        <f>'Supply calc &gt;&gt;&gt;'!K11*'Farms proportions'!$AL12</f>
        <v>107052498.0953081</v>
      </c>
      <c r="W11" s="118">
        <f>V11/'National data'!$T13/'Assumptions data'!$AA12</f>
        <v>528.65431158176841</v>
      </c>
      <c r="X11" s="118">
        <f>U11*'National data'!$V13+W11*'National data'!$X12</f>
        <v>713181.69931091683</v>
      </c>
      <c r="Y11" s="242">
        <f>'Supply calc &gt;&gt;&gt;'!M11*'Farms proportions'!$AK12</f>
        <v>2566868.8208805444</v>
      </c>
      <c r="Z11" s="234">
        <f>Y11/'National data'!$S13/'Assumptions data'!$AA12</f>
        <v>48.8927394453437</v>
      </c>
      <c r="AA11" s="230">
        <f>'Supply calc &gt;&gt;&gt;'!M11*'Farms proportions'!$AL12</f>
        <v>4372574.6190111469</v>
      </c>
      <c r="AB11" s="118">
        <f>AA11/'National data'!$T13/'Assumptions data'!$AA12</f>
        <v>21.592961081536529</v>
      </c>
      <c r="AC11" s="118">
        <f>Z11*'National data'!$V13+AB11*'National data'!$X12</f>
        <v>29130.00866522357</v>
      </c>
      <c r="AD11" s="191">
        <f>'Supply calc &gt;&gt;&gt;'!O11*'Farms proportions'!AK12</f>
        <v>34382903.403524496</v>
      </c>
      <c r="AE11" s="118">
        <f>AD11/'National data'!$S13/'Assumptions data'!$AA12</f>
        <v>654.91244578141891</v>
      </c>
      <c r="AF11" s="240">
        <f>'Supply calc &gt;&gt;&gt;'!O11*'Farms proportions'!AL12</f>
        <v>58570118.397631869</v>
      </c>
      <c r="AG11" s="118">
        <f>AF11/'National data'!$T13/'Assumptions data'!$AA12</f>
        <v>289.23515258089816</v>
      </c>
      <c r="AH11" s="178">
        <f>AE11*'National data'!V12+AG11*'National data'!X12</f>
        <v>390193.01100732968</v>
      </c>
      <c r="AI11" s="191">
        <f>'Supply calc &gt;&gt;&gt;'!Q11*'Farms proportions'!$AK12</f>
        <v>23513631.849734109</v>
      </c>
      <c r="AJ11" s="118">
        <f>AI11/'National data'!$S13/'Assumptions data'!$AA12</f>
        <v>447.87870189969732</v>
      </c>
      <c r="AK11" s="240">
        <f>'Supply calc &gt;&gt;&gt;'!Q11*'Farms proportions'!$AL12</f>
        <v>40054680.235528976</v>
      </c>
      <c r="AL11" s="118">
        <f>AK11/'National data'!$T13/'Assumptions data'!$AA12</f>
        <v>197.80089005199497</v>
      </c>
      <c r="AM11" s="178">
        <f>AJ11*'National data'!$V12+AL11*'National data'!$X12</f>
        <v>266843.5153217779</v>
      </c>
      <c r="AN11" s="191">
        <f>'Supply calc &gt;&gt;&gt;'!S11*'Farms proportions'!$AK12</f>
        <v>7013962.378325779</v>
      </c>
      <c r="AO11" s="118">
        <f>AN11/'National data'!$S13/'Assumptions data'!$AA12</f>
        <v>133.59928339668153</v>
      </c>
      <c r="AP11" s="240">
        <f>'Supply calc &gt;&gt;&gt;'!S11*'Farms proportions'!$AL12</f>
        <v>11948048.776269592</v>
      </c>
      <c r="AQ11" s="118">
        <f>AP11/'National data'!$T13/'Assumptions data'!$AA12</f>
        <v>59.002710006269595</v>
      </c>
      <c r="AR11" s="178">
        <f>AO11*'National data'!$V12+AQ11*'National data'!$X12</f>
        <v>79597.672929812121</v>
      </c>
      <c r="AS11" s="191">
        <f>'Supply calc &gt;&gt;&gt;'!U11*'Farms proportions'!$AK12</f>
        <v>11245814.723517753</v>
      </c>
      <c r="AT11" s="118">
        <f>AS11/'National data'!$S13/'Assumptions data'!$AA12</f>
        <v>214.20599473367147</v>
      </c>
      <c r="AU11" s="240">
        <f>'Supply calc &gt;&gt;&gt;'!U11*'Farms proportions'!$AL12</f>
        <v>19156866.774861958</v>
      </c>
      <c r="AV11" s="118">
        <f>AU11/'National data'!$T13/'Assumptions data'!$AA12</f>
        <v>94.60181123388621</v>
      </c>
      <c r="AW11" s="178">
        <f>AT11*'National data'!$V12+AV11*'National data'!$X12</f>
        <v>127622.68086266812</v>
      </c>
      <c r="AX11" s="191">
        <f>'Supply calc &gt;&gt;&gt;'!W11*'Farms proportions'!$AK12</f>
        <v>586870.27297952562</v>
      </c>
      <c r="AY11" s="118">
        <f>AX11/'National data'!$S13/'Assumptions data'!$AA12</f>
        <v>11.178481390086203</v>
      </c>
      <c r="AZ11" s="240">
        <f>'Supply calc &gt;&gt;&gt;'!W11*'Farms proportions'!$AL12</f>
        <v>999713.75218236702</v>
      </c>
      <c r="BA11" s="118">
        <f>AZ11/'National data'!$T13/'Assumptions data'!$AA12</f>
        <v>4.9368580354684788</v>
      </c>
      <c r="BB11" s="118">
        <f>AY11*'National data'!$V12+BA11*'National data'!$X12</f>
        <v>6660.0739384068766</v>
      </c>
      <c r="BC11" s="78">
        <f>'Supply calc &gt;&gt;&gt;'!Y11*'Farms proportions'!AK12</f>
        <v>32390660.325836282</v>
      </c>
      <c r="BD11" s="234">
        <f>BC11/'National data'!$S13/'Assumptions data'!$AA12</f>
        <v>616.96495858735773</v>
      </c>
      <c r="BE11" s="118">
        <f>'Supply calc &gt;&gt;&gt;'!Y11*'Farms proportions'!AL12</f>
        <v>55176399.386540443</v>
      </c>
      <c r="BF11" s="234">
        <f>BE11/'National data'!$T13/'Assumptions data'!$AA12</f>
        <v>272.47604635328616</v>
      </c>
      <c r="BG11" s="235">
        <f>BD11*'National data'!$V12+BF11*'National data'!$X12</f>
        <v>367584.11972149403</v>
      </c>
      <c r="BH11" s="118">
        <f>'Supply calc &gt;&gt;&gt;'!F11*'National data'!Z13/1000000</f>
        <v>71169.479845931564</v>
      </c>
      <c r="BI11" s="192">
        <f>'Supply calc &gt;&gt;&gt;'!F11*Multipliers!E11</f>
        <v>10680276648.093414</v>
      </c>
      <c r="BJ11" s="247">
        <f>'Supply calc &gt;&gt;&gt;'!H11*'National data'!$Z13/1000000</f>
        <v>16489.664134343268</v>
      </c>
      <c r="BK11" s="229">
        <f>'Supply calc &gt;&gt;&gt;'!H11*Multipliers!$E11</f>
        <v>2474574426.7090855</v>
      </c>
      <c r="BL11" s="247">
        <f>'Supply calc &gt;&gt;&gt;'!J11*'National data'!$Z13/1000000</f>
        <v>11856.958579526732</v>
      </c>
      <c r="BM11" s="229">
        <f>'Supply calc &gt;&gt;&gt;'!J11*Multipliers!$E11</f>
        <v>1779352583.5578997</v>
      </c>
      <c r="BN11" s="247">
        <f>'Supply calc &gt;&gt;&gt;'!L11*'National data'!$Z13/1000000</f>
        <v>39546.700504539047</v>
      </c>
      <c r="BO11" s="229">
        <f>'Supply calc &gt;&gt;&gt;'!L11*Multipliers!$E11</f>
        <v>5934702667.8025856</v>
      </c>
      <c r="BP11" s="247">
        <f>'Supply calc &gt;&gt;&gt;'!N11*'National data'!$Z13/1000000</f>
        <v>1615.2906468173446</v>
      </c>
      <c r="BQ11" s="229">
        <f>'Supply calc &gt;&gt;&gt;'!N11*Multipliers!$E11</f>
        <v>242403780.55921954</v>
      </c>
      <c r="BR11" s="118">
        <f>'Supply calc &gt;&gt;&gt;'!P11*'National data'!Z13/1000000</f>
        <v>10957.831835884024</v>
      </c>
      <c r="BS11" s="192">
        <f>'Supply calc &gt;&gt;&gt;'!P11*Multipliers!E11</f>
        <v>1644422240.0371661</v>
      </c>
      <c r="BT11" s="118">
        <f>'Supply calc &gt;&gt;&gt;'!R11*'National data'!$Z13/1000000</f>
        <v>7493.79482693312</v>
      </c>
      <c r="BU11" s="192">
        <f>'Supply calc &gt;&gt;&gt;'!R11*Multipliers!$E11</f>
        <v>1124580396.9476717</v>
      </c>
      <c r="BV11" s="118">
        <f>'Supply calc &gt;&gt;&gt;'!T11*'National data'!$Z13/1000000</f>
        <v>2235.3499162910298</v>
      </c>
      <c r="BW11" s="240">
        <f>'Supply calc &gt;&gt;&gt;'!T11*Multipliers!$E11</f>
        <v>335454966.97409731</v>
      </c>
      <c r="BX11" s="78">
        <f>'Supply calc &gt;&gt;&gt;'!V11*'National data'!$Z13/1000000</f>
        <v>3584.0413228507114</v>
      </c>
      <c r="BY11" s="192">
        <f>'Supply calc &gt;&gt;&gt;'!V11*Multipliers!$E11</f>
        <v>537850676.0076102</v>
      </c>
      <c r="BZ11" s="118">
        <f>'Supply calc &gt;&gt;&gt;'!X11*'National data'!$Z13/1000000</f>
        <v>187.03556489443497</v>
      </c>
      <c r="CA11" s="192">
        <f>'Supply calc &gt;&gt;&gt;'!X11*Multipliers!$E11</f>
        <v>28068092.958237171</v>
      </c>
      <c r="CB11" s="234">
        <f>'Supply calc &gt;&gt;&gt;'!Z11*'National data'!$Z13/1000000</f>
        <v>10322.9039368261</v>
      </c>
      <c r="CC11" s="229">
        <f>'Supply calc &gt;&gt;&gt;'!Z11*Multipliers!$E11</f>
        <v>1549139744.9534395</v>
      </c>
    </row>
    <row r="12" spans="1:81">
      <c r="A12" s="9">
        <v>11</v>
      </c>
      <c r="B12" s="1" t="s">
        <v>363</v>
      </c>
      <c r="C12" s="1" t="s">
        <v>364</v>
      </c>
      <c r="D12" s="1">
        <v>1</v>
      </c>
      <c r="E12" s="191">
        <f>'Supply calc &gt;&gt;&gt;'!E12*'Farms proportions'!AK13</f>
        <v>20604524.884921923</v>
      </c>
      <c r="F12" s="118">
        <f>E12/'National data'!$S14/'Assumptions data'!$AA13</f>
        <v>392.4671406651795</v>
      </c>
      <c r="G12" s="240">
        <f>'Supply calc &gt;&gt;&gt;'!E12*'Farms proportions'!AL13</f>
        <v>12648031.633229841</v>
      </c>
      <c r="H12" s="118">
        <f>G12/'National data'!$T14/'Assumptions data'!$AA13</f>
        <v>62.459415472739963</v>
      </c>
      <c r="I12" s="118">
        <f>F12*'National data'!V14+H12*'National data'!X13</f>
        <v>142251.38667413968</v>
      </c>
      <c r="J12" s="242">
        <f>'Supply calc &gt;&gt;&gt;'!G12*'Farms proportions'!$AK13</f>
        <v>5109451.836777525</v>
      </c>
      <c r="K12" s="234">
        <f>J12/'National data'!$S14/'Assumptions data'!$AA13</f>
        <v>97.32289212909572</v>
      </c>
      <c r="L12" s="230">
        <f>'Supply calc &gt;&gt;&gt;'!G12*'Farms proportions'!$AL13</f>
        <v>3136423.1313733263</v>
      </c>
      <c r="M12" s="118">
        <f>L12/'National data'!$T14/'Assumptions data'!$AA13</f>
        <v>15.488509290732475</v>
      </c>
      <c r="N12" s="118">
        <f>K12*'National data'!$V14+M12*'National data'!$X13</f>
        <v>35275.096755966137</v>
      </c>
      <c r="O12" s="242">
        <f>'Supply calc &gt;&gt;&gt;'!I12*'Farms proportions'!$AK13</f>
        <v>5044741.7126025576</v>
      </c>
      <c r="P12" s="234">
        <f>O12/'National data'!$S14/'Assumptions data'!$AA13</f>
        <v>96.09031833528681</v>
      </c>
      <c r="Q12" s="230">
        <f>'Supply calc &gt;&gt;&gt;'!I12*'Farms proportions'!$AL13</f>
        <v>3096700.9974184614</v>
      </c>
      <c r="R12" s="118">
        <f>Q12/'National data'!$T14/'Assumptions data'!$AA13</f>
        <v>15.292350604535612</v>
      </c>
      <c r="S12" s="118">
        <f>P12*'National data'!$V14+R12*'National data'!$X13</f>
        <v>34828.345134797666</v>
      </c>
      <c r="T12" s="242">
        <f>'Supply calc &gt;&gt;&gt;'!K12*'Farms proportions'!$AK13</f>
        <v>10700897.446491595</v>
      </c>
      <c r="U12" s="234">
        <f>T12/'National data'!$S14/'Assumptions data'!$AA13</f>
        <v>203.82661802841136</v>
      </c>
      <c r="V12" s="230">
        <f>'Supply calc &gt;&gt;&gt;'!K12*'Farms proportions'!$AL13</f>
        <v>6568716.8310402408</v>
      </c>
      <c r="W12" s="118">
        <f>V12/'National data'!$T14/'Assumptions data'!$AA13</f>
        <v>32.43810780760613</v>
      </c>
      <c r="X12" s="118">
        <f>U12*'National data'!$V14+W12*'National data'!$X13</f>
        <v>73877.825813645686</v>
      </c>
      <c r="Y12" s="242">
        <f>'Supply calc &gt;&gt;&gt;'!M12*'Farms proportions'!$AK13</f>
        <v>838281.32508983254</v>
      </c>
      <c r="Z12" s="234">
        <f>Y12/'National data'!$S14/'Assumptions data'!$AA13</f>
        <v>15.96726333504443</v>
      </c>
      <c r="AA12" s="230">
        <f>'Supply calc &gt;&gt;&gt;'!M12*'Farms proportions'!$AL13</f>
        <v>514576.71441096207</v>
      </c>
      <c r="AB12" s="118">
        <f>AA12/'National data'!$T14/'Assumptions data'!$AA13</f>
        <v>2.5411195773380841</v>
      </c>
      <c r="AC12" s="118">
        <f>Z12*'National data'!$V14+AB12*'National data'!$X13</f>
        <v>5787.4026012765207</v>
      </c>
      <c r="AD12" s="191">
        <f>'Supply calc &gt;&gt;&gt;'!O12*'Farms proportions'!AK13</f>
        <v>4539287.6368876603</v>
      </c>
      <c r="AE12" s="118">
        <f>AD12/'National data'!$S14/'Assumptions data'!$AA13</f>
        <v>86.462621655003062</v>
      </c>
      <c r="AF12" s="240">
        <f>'Supply calc &gt;&gt;&gt;'!O12*'Farms proportions'!AL13</f>
        <v>2786429.3859888152</v>
      </c>
      <c r="AG12" s="118">
        <f>AF12/'National data'!$T14/'Assumptions data'!$AA13</f>
        <v>13.760145115994149</v>
      </c>
      <c r="AH12" s="178">
        <f>AE12*'National data'!V13+AG12*'National data'!X13</f>
        <v>31338.745468116875</v>
      </c>
      <c r="AI12" s="191">
        <f>'Supply calc &gt;&gt;&gt;'!Q12*'Farms proportions'!$AK13</f>
        <v>3121691.6924714628</v>
      </c>
      <c r="AJ12" s="118">
        <f>AI12/'National data'!$S14/'Assumptions data'!$AA13</f>
        <v>59.460794142313574</v>
      </c>
      <c r="AK12" s="240">
        <f>'Supply calc &gt;&gt;&gt;'!Q12*'Farms proportions'!$AL13</f>
        <v>1916241.9660772234</v>
      </c>
      <c r="AL12" s="118">
        <f>AK12/'National data'!$T14/'Assumptions data'!$AA13</f>
        <v>9.4629232892702397</v>
      </c>
      <c r="AM12" s="178">
        <f>AJ12*'National data'!$V13+AL12*'National data'!$X13</f>
        <v>21551.818083811653</v>
      </c>
      <c r="AN12" s="191">
        <f>'Supply calc &gt;&gt;&gt;'!S12*'Farms proportions'!$AK13</f>
        <v>1377058.4491116274</v>
      </c>
      <c r="AO12" s="118">
        <f>AN12/'National data'!$S14/'Assumptions data'!$AA13</f>
        <v>26.229684744983381</v>
      </c>
      <c r="AP12" s="240">
        <f>'Supply calc &gt;&gt;&gt;'!S12*'Farms proportions'!$AL13</f>
        <v>845303.58852951962</v>
      </c>
      <c r="AQ12" s="118">
        <f>AP12/'National data'!$T14/'Assumptions data'!$AA13</f>
        <v>4.1743387087877517</v>
      </c>
      <c r="AR12" s="178">
        <f>AO12*'National data'!$V13+AQ12*'National data'!$X13</f>
        <v>9507.0609495498429</v>
      </c>
      <c r="AS12" s="191">
        <f>'Supply calc &gt;&gt;&gt;'!U12*'Farms proportions'!$AK13</f>
        <v>1671146.5937328117</v>
      </c>
      <c r="AT12" s="118">
        <f>AS12/'National data'!$S14/'Assumptions data'!$AA13</f>
        <v>31.831363690148798</v>
      </c>
      <c r="AU12" s="240">
        <f>'Supply calc &gt;&gt;&gt;'!U12*'Farms proportions'!$AL13</f>
        <v>1025828.7972834755</v>
      </c>
      <c r="AV12" s="118">
        <f>AU12/'National data'!$T14/'Assumptions data'!$AA13</f>
        <v>5.0658212211529658</v>
      </c>
      <c r="AW12" s="178">
        <f>AT12*'National data'!$V13+AV12*'National data'!$X13</f>
        <v>11537.413341096722</v>
      </c>
      <c r="AX12" s="191">
        <f>'Supply calc &gt;&gt;&gt;'!W12*'Farms proportions'!$AK13</f>
        <v>159586.80515271542</v>
      </c>
      <c r="AY12" s="118">
        <f>AX12/'National data'!$S14/'Assumptions data'!$AA13</f>
        <v>3.0397486695755318</v>
      </c>
      <c r="AZ12" s="240">
        <f>'Supply calc &gt;&gt;&gt;'!W12*'Farms proportions'!$AL13</f>
        <v>97961.926862711072</v>
      </c>
      <c r="BA12" s="118">
        <f>AZ12/'National data'!$T14/'Assumptions data'!$AA13</f>
        <v>0.48376260179116581</v>
      </c>
      <c r="BB12" s="118">
        <f>AY12*'National data'!$V13+BA12*'National data'!$X13</f>
        <v>1101.7698517514507</v>
      </c>
      <c r="BC12" s="78">
        <f>'Supply calc &gt;&gt;&gt;'!Y12*'Farms proportions'!AK13</f>
        <v>5195958.626589871</v>
      </c>
      <c r="BD12" s="234">
        <f>BC12/'National data'!$S14/'Assumptions data'!$AA13</f>
        <v>98.970640506473728</v>
      </c>
      <c r="BE12" s="118">
        <f>'Supply calc &gt;&gt;&gt;'!Y12*'Farms proportions'!AL13</f>
        <v>3189525.0893241451</v>
      </c>
      <c r="BF12" s="234">
        <f>BE12/'National data'!$T14/'Assumptions data'!$AA13</f>
        <v>15.75074118184763</v>
      </c>
      <c r="BG12" s="235">
        <f>BD12*'National data'!$V13+BF12*'National data'!$X13</f>
        <v>35872.330173201575</v>
      </c>
      <c r="BH12" s="118">
        <f>'Supply calc &gt;&gt;&gt;'!F12*'National data'!Z14/1000000</f>
        <v>8046.0079669884353</v>
      </c>
      <c r="BI12" s="192">
        <f>'Supply calc &gt;&gt;&gt;'!F12*Multipliers!E12</f>
        <v>1097681850.8851891</v>
      </c>
      <c r="BJ12" s="247">
        <f>'Supply calc &gt;&gt;&gt;'!H12*'National data'!$Z14/1000000</f>
        <v>1995.2263114661687</v>
      </c>
      <c r="BK12" s="229">
        <f>'Supply calc &gt;&gt;&gt;'!H12*Multipliers!$E12</f>
        <v>272200042.49197388</v>
      </c>
      <c r="BL12" s="247">
        <f>'Supply calc &gt;&gt;&gt;'!J12*'National data'!$Z14/1000000</f>
        <v>1969.957193271767</v>
      </c>
      <c r="BM12" s="229">
        <f>'Supply calc &gt;&gt;&gt;'!J12*Multipliers!$E12</f>
        <v>268752686.66736245</v>
      </c>
      <c r="BN12" s="247">
        <f>'Supply calc &gt;&gt;&gt;'!L12*'National data'!$Z14/1000000</f>
        <v>4178.6698110861989</v>
      </c>
      <c r="BO12" s="229">
        <f>'Supply calc &gt;&gt;&gt;'!L12*Multipliers!$E12</f>
        <v>570077736.84668469</v>
      </c>
      <c r="BP12" s="247">
        <f>'Supply calc &gt;&gt;&gt;'!N12*'National data'!$Z14/1000000</f>
        <v>327.34645704867336</v>
      </c>
      <c r="BQ12" s="229">
        <f>'Supply calc &gt;&gt;&gt;'!N12*Multipliers!$E12</f>
        <v>44658452.530514777</v>
      </c>
      <c r="BR12" s="118">
        <f>'Supply calc &gt;&gt;&gt;'!P12*'National data'!Z14/1000000</f>
        <v>920.03049050659979</v>
      </c>
      <c r="BS12" s="192">
        <f>'Supply calc &gt;&gt;&gt;'!P12*Multipliers!E12</f>
        <v>125515755.86720324</v>
      </c>
      <c r="BT12" s="118">
        <f>'Supply calc &gt;&gt;&gt;'!R12*'National data'!$Z14/1000000</f>
        <v>632.7097484846995</v>
      </c>
      <c r="BU12" s="192">
        <f>'Supply calc &gt;&gt;&gt;'!R12*Multipliers!$E12</f>
        <v>86317837.446752995</v>
      </c>
      <c r="BV12" s="118">
        <f>'Supply calc &gt;&gt;&gt;'!T12*'National data'!$Z14/1000000</f>
        <v>279.10453395746833</v>
      </c>
      <c r="BW12" s="240">
        <f>'Supply calc &gt;&gt;&gt;'!T12*Multipliers!$E12</f>
        <v>38077016.910977945</v>
      </c>
      <c r="BX12" s="78">
        <f>'Supply calc &gt;&gt;&gt;'!V12*'National data'!$Z14/1000000</f>
        <v>338.71081617436676</v>
      </c>
      <c r="BY12" s="192">
        <f>'Supply calc &gt;&gt;&gt;'!V12*Multipliers!$E12</f>
        <v>46208842.588590279</v>
      </c>
      <c r="BZ12" s="118">
        <f>'Supply calc &gt;&gt;&gt;'!X12*'National data'!$Z14/1000000</f>
        <v>32.345323400502458</v>
      </c>
      <c r="CA12" s="192">
        <f>'Supply calc &gt;&gt;&gt;'!X12*Multipliers!$E12</f>
        <v>4412731.7053891486</v>
      </c>
      <c r="CB12" s="234">
        <f>'Supply calc &gt;&gt;&gt;'!Z12*'National data'!$Z14/1000000</f>
        <v>1053.1256765987102</v>
      </c>
      <c r="CC12" s="229">
        <f>'Supply calc &gt;&gt;&gt;'!Z12*Multipliers!$E12</f>
        <v>143673352.87840521</v>
      </c>
    </row>
    <row r="13" spans="1:81">
      <c r="A13" s="9">
        <v>12</v>
      </c>
      <c r="B13" s="1" t="s">
        <v>368</v>
      </c>
      <c r="C13" s="1" t="s">
        <v>278</v>
      </c>
      <c r="D13" s="1">
        <v>0</v>
      </c>
      <c r="E13" s="191">
        <f>'Supply calc &gt;&gt;&gt;'!E13*'Farms proportions'!AK14</f>
        <v>884804.92805999552</v>
      </c>
      <c r="F13" s="118">
        <f>E13/'National data'!$S15/'Assumptions data'!$AA14</f>
        <v>16.853427201142775</v>
      </c>
      <c r="G13" s="240">
        <f>'Supply calc &gt;&gt;&gt;'!E13*'Farms proportions'!AL14</f>
        <v>3383076.2398834648</v>
      </c>
      <c r="H13" s="118">
        <f>G13/'National data'!$T15/'Assumptions data'!$AA14</f>
        <v>16.706549332757852</v>
      </c>
      <c r="I13" s="118">
        <f>F13*'National data'!V15+H13*'National data'!X14</f>
        <v>17692.751432321966</v>
      </c>
      <c r="J13" s="242">
        <f>'Supply calc &gt;&gt;&gt;'!G13*'Farms proportions'!$AK14</f>
        <v>197948.68108111178</v>
      </c>
      <c r="K13" s="234">
        <f>J13/'National data'!$S15/'Assumptions data'!$AA14</f>
        <v>3.7704510682116532</v>
      </c>
      <c r="L13" s="230">
        <f>'Supply calc &gt;&gt;&gt;'!G13*'Farms proportions'!$AL14</f>
        <v>756862.2850576737</v>
      </c>
      <c r="M13" s="118">
        <f>L13/'National data'!$T15/'Assumptions data'!$AA14</f>
        <v>3.7375915311490058</v>
      </c>
      <c r="N13" s="118">
        <f>K13*'National data'!$V15+M13*'National data'!$X14</f>
        <v>3958.2248014859706</v>
      </c>
      <c r="O13" s="242">
        <f>'Supply calc &gt;&gt;&gt;'!I13*'Farms proportions'!$AK14</f>
        <v>175833.3677647945</v>
      </c>
      <c r="P13" s="234">
        <f>O13/'National data'!$S15/'Assumptions data'!$AA14</f>
        <v>3.3492070050437048</v>
      </c>
      <c r="Q13" s="230">
        <f>'Supply calc &gt;&gt;&gt;'!I13*'Farms proportions'!$AL14</f>
        <v>672303.76979029691</v>
      </c>
      <c r="R13" s="118">
        <f>Q13/'National data'!$T15/'Assumptions data'!$AA14</f>
        <v>3.32001861624838</v>
      </c>
      <c r="S13" s="118">
        <f>P13*'National data'!$V15+R13*'National data'!$X14</f>
        <v>3516.0021951862577</v>
      </c>
      <c r="T13" s="242">
        <f>'Supply calc &gt;&gt;&gt;'!K13*'Farms proportions'!$AK14</f>
        <v>517543.44865846611</v>
      </c>
      <c r="U13" s="234">
        <f>T13/'National data'!$S15/'Assumptions data'!$AA14</f>
        <v>9.8579704506374508</v>
      </c>
      <c r="V13" s="230">
        <f>'Supply calc &gt;&gt;&gt;'!K13*'Farms proportions'!$AL14</f>
        <v>1978841.7635769348</v>
      </c>
      <c r="W13" s="118">
        <f>V13/'National data'!$T15/'Assumptions data'!$AA14</f>
        <v>9.77205809173795</v>
      </c>
      <c r="X13" s="118">
        <f>U13*'National data'!$V15+W13*'National data'!$X14</f>
        <v>10348.911157872797</v>
      </c>
      <c r="Y13" s="242">
        <f>'Supply calc &gt;&gt;&gt;'!M13*'Farms proportions'!$AK14</f>
        <v>15850.883546252464</v>
      </c>
      <c r="Z13" s="234">
        <f>Y13/'National data'!$S15/'Assumptions data'!$AA14</f>
        <v>0.30192159135718982</v>
      </c>
      <c r="AA13" s="230">
        <f>'Supply calc &gt;&gt;&gt;'!M13*'Farms proportions'!$AL14</f>
        <v>60606.293891313362</v>
      </c>
      <c r="AB13" s="118">
        <f>AA13/'National data'!$T15/'Assumptions data'!$AA14</f>
        <v>0.29929034020401662</v>
      </c>
      <c r="AC13" s="118">
        <f>Z13*'National data'!$V15+AB13*'National data'!$X14</f>
        <v>316.95770861202857</v>
      </c>
      <c r="AD13" s="191">
        <f>'Supply calc &gt;&gt;&gt;'!O13*'Farms proportions'!AK14</f>
        <v>223166.47548469793</v>
      </c>
      <c r="AE13" s="118">
        <f>AD13/'National data'!$S15/'Assumptions data'!$AA14</f>
        <v>4.2507900092323414</v>
      </c>
      <c r="AF13" s="240">
        <f>'Supply calc &gt;&gt;&gt;'!O13*'Farms proportions'!AL14</f>
        <v>853283.22301073815</v>
      </c>
      <c r="AG13" s="118">
        <f>AF13/'National data'!$T15/'Assumptions data'!$AA14</f>
        <v>4.2137443111641391</v>
      </c>
      <c r="AH13" s="178">
        <f>AE13*'National data'!V14+AG13*'National data'!X14</f>
        <v>4462.48529315425</v>
      </c>
      <c r="AI13" s="191">
        <f>'Supply calc &gt;&gt;&gt;'!Q13*'Farms proportions'!$AK14</f>
        <v>156226.34767265365</v>
      </c>
      <c r="AJ13" s="118">
        <f>AI13/'National data'!$S15/'Assumptions data'!$AA14</f>
        <v>2.9757399556695936</v>
      </c>
      <c r="AK13" s="240">
        <f>'Supply calc &gt;&gt;&gt;'!Q13*'Farms proportions'!$AL14</f>
        <v>597335.78339573916</v>
      </c>
      <c r="AL13" s="118">
        <f>AK13/'National data'!$T15/'Assumptions data'!$AA14</f>
        <v>2.949806337756737</v>
      </c>
      <c r="AM13" s="178">
        <f>AJ13*'National data'!$V14+AL13*'National data'!$X14</f>
        <v>3123.9359647467409</v>
      </c>
      <c r="AN13" s="191">
        <f>'Supply calc &gt;&gt;&gt;'!S13*'Farms proportions'!$AK14</f>
        <v>82844.665520194147</v>
      </c>
      <c r="AO13" s="118">
        <f>AN13/'National data'!$S15/'Assumptions data'!$AA14</f>
        <v>1.577993628956079</v>
      </c>
      <c r="AP13" s="240">
        <f>'Supply calc &gt;&gt;&gt;'!S13*'Farms proportions'!$AL14</f>
        <v>316758.88168590493</v>
      </c>
      <c r="AQ13" s="118">
        <f>AP13/'National data'!$T15/'Assumptions data'!$AA14</f>
        <v>1.5642413910415058</v>
      </c>
      <c r="AR13" s="178">
        <f>AO13*'National data'!$V14+AQ13*'National data'!$X14</f>
        <v>1656.5799172891382</v>
      </c>
      <c r="AS13" s="191">
        <f>'Supply calc &gt;&gt;&gt;'!U13*'Farms proportions'!$AK14</f>
        <v>91857.089449267427</v>
      </c>
      <c r="AT13" s="118">
        <f>AS13/'National data'!$S15/'Assumptions data'!$AA14</f>
        <v>1.749658846652713</v>
      </c>
      <c r="AU13" s="240">
        <f>'Supply calc &gt;&gt;&gt;'!U13*'Farms proportions'!$AL14</f>
        <v>351218.13512276823</v>
      </c>
      <c r="AV13" s="118">
        <f>AU13/'National data'!$T15/'Assumptions data'!$AA14</f>
        <v>1.7344105438161395</v>
      </c>
      <c r="AW13" s="178">
        <f>AT13*'National data'!$V14+AV13*'National data'!$X14</f>
        <v>1836.7943027689078</v>
      </c>
      <c r="AX13" s="191">
        <f>'Supply calc &gt;&gt;&gt;'!W13*'Farms proportions'!$AK14</f>
        <v>3501.294013430032</v>
      </c>
      <c r="AY13" s="118">
        <f>AX13/'National data'!$S15/'Assumptions data'!$AA14</f>
        <v>6.6691314541524424E-2</v>
      </c>
      <c r="AZ13" s="240">
        <f>'Supply calc &gt;&gt;&gt;'!W13*'Farms proportions'!$AL14</f>
        <v>13387.294995805201</v>
      </c>
      <c r="BA13" s="118">
        <f>AZ13/'National data'!$T15/'Assumptions data'!$AA14</f>
        <v>6.6110098744717044E-2</v>
      </c>
      <c r="BB13" s="118">
        <f>AY13*'National data'!$V14+BA13*'National data'!$X14</f>
        <v>70.012635222228425</v>
      </c>
      <c r="BC13" s="78">
        <f>'Supply calc &gt;&gt;&gt;'!Y13*'Farms proportions'!AK14</f>
        <v>214937.98088718319</v>
      </c>
      <c r="BD13" s="234">
        <f>BC13/'National data'!$S15/'Assumptions data'!$AA14</f>
        <v>4.0940567788034894</v>
      </c>
      <c r="BE13" s="118">
        <f>'Supply calc &gt;&gt;&gt;'!Y13*'Farms proportions'!AL14</f>
        <v>821821.34516620834</v>
      </c>
      <c r="BF13" s="234">
        <f>BE13/'National data'!$T15/'Assumptions data'!$AA14</f>
        <v>4.0583770131664609</v>
      </c>
      <c r="BG13" s="235">
        <f>BD13*'National data'!$V14+BF13*'National data'!$X14</f>
        <v>4297.9465287791027</v>
      </c>
      <c r="BH13" s="118">
        <f>'Supply calc &gt;&gt;&gt;'!F13*'National data'!Z15/1000000</f>
        <v>13955.039884452674</v>
      </c>
      <c r="BI13" s="192">
        <f>'Supply calc &gt;&gt;&gt;'!F13*Multipliers!E13</f>
        <v>2189399163.3179498</v>
      </c>
      <c r="BJ13" s="247">
        <f>'Supply calc &gt;&gt;&gt;'!H13*'National data'!$Z15/1000000</f>
        <v>3122.0234561966749</v>
      </c>
      <c r="BK13" s="229">
        <f>'Supply calc &gt;&gt;&gt;'!H13*Multipliers!$E13</f>
        <v>489812684.12362558</v>
      </c>
      <c r="BL13" s="247">
        <f>'Supply calc &gt;&gt;&gt;'!J13*'National data'!$Z15/1000000</f>
        <v>2773.2233200321425</v>
      </c>
      <c r="BM13" s="229">
        <f>'Supply calc &gt;&gt;&gt;'!J13*Multipliers!$E13</f>
        <v>435089606.82632524</v>
      </c>
      <c r="BN13" s="247">
        <f>'Supply calc &gt;&gt;&gt;'!L13*'National data'!$Z15/1000000</f>
        <v>8162.6347671928388</v>
      </c>
      <c r="BO13" s="229">
        <f>'Supply calc &gt;&gt;&gt;'!L13*Multipliers!$E13</f>
        <v>1280631648.3317549</v>
      </c>
      <c r="BP13" s="247">
        <f>'Supply calc &gt;&gt;&gt;'!N13*'National data'!$Z15/1000000</f>
        <v>249.99828219398091</v>
      </c>
      <c r="BQ13" s="229">
        <f>'Supply calc &gt;&gt;&gt;'!N13*Multipliers!$E13</f>
        <v>39222104.300556347</v>
      </c>
      <c r="BR13" s="118">
        <f>'Supply calc &gt;&gt;&gt;'!P13*'National data'!Z15/1000000</f>
        <v>1868.9753075364863</v>
      </c>
      <c r="BS13" s="192">
        <f>'Supply calc &gt;&gt;&gt;'!P13*Multipliers!E13</f>
        <v>293222592.58757973</v>
      </c>
      <c r="BT13" s="118">
        <f>'Supply calc &gt;&gt;&gt;'!R13*'National data'!$Z15/1000000</f>
        <v>1308.3649125731729</v>
      </c>
      <c r="BU13" s="192">
        <f>'Supply calc &gt;&gt;&gt;'!R13*Multipliers!$E13</f>
        <v>205268710.7038402</v>
      </c>
      <c r="BV13" s="118">
        <f>'Supply calc &gt;&gt;&gt;'!T13*'National data'!$Z15/1000000</f>
        <v>693.8077678651108</v>
      </c>
      <c r="BW13" s="240">
        <f>'Supply calc &gt;&gt;&gt;'!T13*Multipliers!$E13</f>
        <v>108851150.48361218</v>
      </c>
      <c r="BX13" s="78">
        <f>'Supply calc &gt;&gt;&gt;'!V13*'National data'!$Z15/1000000</f>
        <v>769.28504440454287</v>
      </c>
      <c r="BY13" s="192">
        <f>'Supply calc &gt;&gt;&gt;'!V13*Multipliers!$E13</f>
        <v>120692742.30084914</v>
      </c>
      <c r="BZ13" s="118">
        <f>'Supply calc &gt;&gt;&gt;'!X13*'National data'!$Z15/1000000</f>
        <v>29.322648221752065</v>
      </c>
      <c r="CA13" s="192">
        <f>'Supply calc &gt;&gt;&gt;'!X13*Multipliers!$E13</f>
        <v>4600415.4781739255</v>
      </c>
      <c r="CB13" s="234">
        <f>'Supply calc &gt;&gt;&gt;'!Z13*'National data'!$Z15/1000000</f>
        <v>1800.063284852296</v>
      </c>
      <c r="CC13" s="229">
        <f>'Supply calc &gt;&gt;&gt;'!Z13*Multipliers!$E13</f>
        <v>282411020.13371623</v>
      </c>
    </row>
    <row r="14" spans="1:81">
      <c r="A14" s="9">
        <v>13</v>
      </c>
      <c r="B14" s="1" t="s">
        <v>372</v>
      </c>
      <c r="C14" s="1" t="s">
        <v>373</v>
      </c>
      <c r="D14" s="1">
        <v>0</v>
      </c>
      <c r="E14" s="191">
        <f>'Supply calc &gt;&gt;&gt;'!E14*'Farms proportions'!AK15</f>
        <v>43876178.134195358</v>
      </c>
      <c r="F14" s="118">
        <f>E14/'National data'!$S16/'Assumptions data'!$AA15</f>
        <v>835.73672636562594</v>
      </c>
      <c r="G14" s="240">
        <f>'Supply calc &gt;&gt;&gt;'!E14*'Farms proportions'!AL15</f>
        <v>110648336.49852772</v>
      </c>
      <c r="H14" s="118">
        <f>G14/'National data'!$T16/'Assumptions data'!$AA15</f>
        <v>546.41153826433447</v>
      </c>
      <c r="I14" s="118">
        <f>F14*'National data'!V16+H14*'National data'!X15</f>
        <v>644391.11439679982</v>
      </c>
      <c r="J14" s="242">
        <f>'Supply calc &gt;&gt;&gt;'!G14*'Farms proportions'!$AK15</f>
        <v>10720195.837569555</v>
      </c>
      <c r="K14" s="234">
        <f>J14/'National data'!$S16/'Assumptions data'!$AA15</f>
        <v>204.1942064298963</v>
      </c>
      <c r="L14" s="230">
        <f>'Supply calc &gt;&gt;&gt;'!G14*'Farms proportions'!$AL15</f>
        <v>27034529.596848749</v>
      </c>
      <c r="M14" s="118">
        <f>L14/'National data'!$T16/'Assumptions data'!$AA15</f>
        <v>133.50384986098146</v>
      </c>
      <c r="N14" s="118">
        <f>K14*'National data'!$V16+M14*'National data'!$X15</f>
        <v>157443.04167047673</v>
      </c>
      <c r="O14" s="242">
        <f>'Supply calc &gt;&gt;&gt;'!I14*'Farms proportions'!$AK15</f>
        <v>10099332.060431471</v>
      </c>
      <c r="P14" s="234">
        <f>O14/'National data'!$S16/'Assumptions data'!$AA15</f>
        <v>192.3682297225042</v>
      </c>
      <c r="Q14" s="230">
        <f>'Supply calc &gt;&gt;&gt;'!I14*'Farms proportions'!$AL15</f>
        <v>25468815.647871468</v>
      </c>
      <c r="R14" s="118">
        <f>Q14/'National data'!$T16/'Assumptions data'!$AA15</f>
        <v>125.77192912529121</v>
      </c>
      <c r="S14" s="118">
        <f>P14*'National data'!$V16+R14*'National data'!$X15</f>
        <v>148324.67452338903</v>
      </c>
      <c r="T14" s="242">
        <f>'Supply calc &gt;&gt;&gt;'!K14*'Farms proportions'!$AK15</f>
        <v>28753767.203726519</v>
      </c>
      <c r="U14" s="234">
        <f>T14/'National data'!$S16/'Assumptions data'!$AA15</f>
        <v>547.6908038805052</v>
      </c>
      <c r="V14" s="230">
        <f>'Supply calc &gt;&gt;&gt;'!K14*'Farms proportions'!$AL15</f>
        <v>72512161.36983186</v>
      </c>
      <c r="W14" s="118">
        <f>V14/'National data'!$T16/'Assumptions data'!$AA15</f>
        <v>358.08474750534253</v>
      </c>
      <c r="X14" s="118">
        <f>U14*'National data'!$V16+W14*'National data'!$X15</f>
        <v>422294.57713580964</v>
      </c>
      <c r="Y14" s="242">
        <f>'Supply calc &gt;&gt;&gt;'!M14*'Farms proportions'!$AK15</f>
        <v>334592.23629841866</v>
      </c>
      <c r="Z14" s="234">
        <f>Y14/'National data'!$S16/'Assumptions data'!$AA15</f>
        <v>6.3731854533032131</v>
      </c>
      <c r="AA14" s="230">
        <f>'Supply calc &gt;&gt;&gt;'!M14*'Farms proportions'!$AL15</f>
        <v>843785.30505802622</v>
      </c>
      <c r="AB14" s="118">
        <f>AA14/'National data'!$T16/'Assumptions data'!$AA15</f>
        <v>4.1668410126322284</v>
      </c>
      <c r="AC14" s="118">
        <f>Z14*'National data'!$V16+AB14*'National data'!$X15</f>
        <v>4914.0165161472632</v>
      </c>
      <c r="AD14" s="191">
        <f>'Supply calc &gt;&gt;&gt;'!O14*'Farms proportions'!AK15</f>
        <v>9739915.9306195155</v>
      </c>
      <c r="AE14" s="118">
        <f>AD14/'National data'!$S16/'Assumptions data'!$AA15</f>
        <v>185.52220820227649</v>
      </c>
      <c r="AF14" s="240">
        <f>'Supply calc &gt;&gt;&gt;'!O14*'Farms proportions'!AL15</f>
        <v>24562428.661457133</v>
      </c>
      <c r="AG14" s="118">
        <f>AF14/'National data'!$T16/'Assumptions data'!$AA15</f>
        <v>121.29594400719571</v>
      </c>
      <c r="AH14" s="178">
        <f>AE14*'National data'!V15+AG14*'National data'!X15</f>
        <v>143046.07984466953</v>
      </c>
      <c r="AI14" s="191">
        <f>'Supply calc &gt;&gt;&gt;'!Q14*'Farms proportions'!$AK15</f>
        <v>6756538.1098746788</v>
      </c>
      <c r="AJ14" s="118">
        <f>AI14/'National data'!$S16/'Assumptions data'!$AA15</f>
        <v>128.69596399761292</v>
      </c>
      <c r="AK14" s="240">
        <f>'Supply calc &gt;&gt;&gt;'!Q14*'Farms proportions'!$AL15</f>
        <v>17038851.926893111</v>
      </c>
      <c r="AL14" s="118">
        <f>AK14/'National data'!$T16/'Assumptions data'!$AA15</f>
        <v>84.142478651324012</v>
      </c>
      <c r="AM14" s="178">
        <f>AJ14*'National data'!$V15+AL14*'National data'!$X15</f>
        <v>99230.455049442229</v>
      </c>
      <c r="AN14" s="191">
        <f>'Supply calc &gt;&gt;&gt;'!S14*'Farms proportions'!$AK15</f>
        <v>2238048.155231873</v>
      </c>
      <c r="AO14" s="118">
        <f>AN14/'National data'!$S16/'Assumptions data'!$AA15</f>
        <v>42.629488671083301</v>
      </c>
      <c r="AP14" s="240">
        <f>'Supply calc &gt;&gt;&gt;'!S14*'Farms proportions'!$AL15</f>
        <v>5643980.7638352066</v>
      </c>
      <c r="AQ14" s="118">
        <f>AP14/'National data'!$T16/'Assumptions data'!$AA15</f>
        <v>27.87150994486522</v>
      </c>
      <c r="AR14" s="178">
        <f>AO14*'National data'!$V15+AQ14*'National data'!$X15</f>
        <v>32869.27909747891</v>
      </c>
      <c r="AS14" s="191">
        <f>'Supply calc &gt;&gt;&gt;'!U14*'Farms proportions'!$AK15</f>
        <v>3065415.7650984866</v>
      </c>
      <c r="AT14" s="118">
        <f>AS14/'National data'!$S16/'Assumptions data'!$AA15</f>
        <v>58.388871716161646</v>
      </c>
      <c r="AU14" s="240">
        <f>'Supply calc &gt;&gt;&gt;'!U14*'Farms proportions'!$AL15</f>
        <v>7730462.6224990916</v>
      </c>
      <c r="AV14" s="118">
        <f>AU14/'National data'!$T16/'Assumptions data'!$AA15</f>
        <v>38.175124061723906</v>
      </c>
      <c r="AW14" s="178">
        <f>AT14*'National data'!$V15+AV14*'National data'!$X15</f>
        <v>45020.481841417291</v>
      </c>
      <c r="AX14" s="191">
        <f>'Supply calc &gt;&gt;&gt;'!W14*'Farms proportions'!$AK15</f>
        <v>47957.56685690469</v>
      </c>
      <c r="AY14" s="118">
        <f>AX14/'National data'!$S16/'Assumptions data'!$AA15</f>
        <v>0.91347746394104168</v>
      </c>
      <c r="AZ14" s="240">
        <f>'Supply calc &gt;&gt;&gt;'!W14*'Farms proportions'!$AL15</f>
        <v>120940.91192272311</v>
      </c>
      <c r="BA14" s="118">
        <f>AZ14/'National data'!$T16/'Assumptions data'!$AA15</f>
        <v>0.59723907122332409</v>
      </c>
      <c r="BB14" s="118">
        <f>AY14*'National data'!$V15+BA14*'National data'!$X15</f>
        <v>704.33276700084639</v>
      </c>
      <c r="BC14" s="78">
        <f>'Supply calc &gt;&gt;&gt;'!Y14*'Farms proportions'!AK15</f>
        <v>12170234.941627821</v>
      </c>
      <c r="BD14" s="234">
        <f>BC14/'National data'!$S16/'Assumptions data'!$AA15</f>
        <v>231.813998888149</v>
      </c>
      <c r="BE14" s="118">
        <f>'Supply calc &gt;&gt;&gt;'!Y14*'Farms proportions'!AL15</f>
        <v>30691284.162643954</v>
      </c>
      <c r="BF14" s="234">
        <f>BE14/'National data'!$T16/'Assumptions data'!$AA15</f>
        <v>151.56189709947634</v>
      </c>
      <c r="BG14" s="235">
        <f>BD14*'National data'!$V15+BF14*'National data'!$X15</f>
        <v>178739.16074732988</v>
      </c>
      <c r="BH14" s="118">
        <f>'Supply calc &gt;&gt;&gt;'!F14*'National data'!Z16/1000000</f>
        <v>80925.12712375565</v>
      </c>
      <c r="BI14" s="192">
        <f>'Supply calc &gt;&gt;&gt;'!F14*Multipliers!E14</f>
        <v>12144289200.0179</v>
      </c>
      <c r="BJ14" s="247">
        <f>'Supply calc &gt;&gt;&gt;'!H14*'National data'!$Z16/1000000</f>
        <v>19772.305789568101</v>
      </c>
      <c r="BK14" s="229">
        <f>'Supply calc &gt;&gt;&gt;'!H14*Multipliers!$E14</f>
        <v>2967194593.250329</v>
      </c>
      <c r="BL14" s="247">
        <f>'Supply calc &gt;&gt;&gt;'!J14*'National data'!$Z16/1000000</f>
        <v>18627.185995000651</v>
      </c>
      <c r="BM14" s="229">
        <f>'Supply calc &gt;&gt;&gt;'!J14*Multipliers!$E14</f>
        <v>2795348512.2101936</v>
      </c>
      <c r="BN14" s="247">
        <f>'Supply calc &gt;&gt;&gt;'!L14*'National data'!$Z16/1000000</f>
        <v>53033.385431420444</v>
      </c>
      <c r="BO14" s="229">
        <f>'Supply calc &gt;&gt;&gt;'!L14*Multipliers!$E14</f>
        <v>7958625371.7002029</v>
      </c>
      <c r="BP14" s="247">
        <f>'Supply calc &gt;&gt;&gt;'!N14*'National data'!$Z16/1000000</f>
        <v>617.12118986882638</v>
      </c>
      <c r="BQ14" s="229">
        <f>'Supply calc &gt;&gt;&gt;'!N14*Multipliers!$E14</f>
        <v>92610274.059441894</v>
      </c>
      <c r="BR14" s="118">
        <f>'Supply calc &gt;&gt;&gt;'!P14*'National data'!Z16/1000000</f>
        <v>9097.9781215873227</v>
      </c>
      <c r="BS14" s="192">
        <f>'Supply calc &gt;&gt;&gt;'!P14*Multipliers!E14</f>
        <v>1365317317.0185614</v>
      </c>
      <c r="BT14" s="118">
        <f>'Supply calc &gt;&gt;&gt;'!R14*'National data'!$Z16/1000000</f>
        <v>6311.2285916210049</v>
      </c>
      <c r="BU14" s="192">
        <f>'Supply calc &gt;&gt;&gt;'!R14*Multipliers!$E14</f>
        <v>947114795.46836376</v>
      </c>
      <c r="BV14" s="118">
        <f>'Supply calc &gt;&gt;&gt;'!T14*'National data'!$Z16/1000000</f>
        <v>2090.5430084203335</v>
      </c>
      <c r="BW14" s="240">
        <f>'Supply calc &gt;&gt;&gt;'!T14*Multipliers!$E14</f>
        <v>313724053.10537064</v>
      </c>
      <c r="BX14" s="78">
        <f>'Supply calc &gt;&gt;&gt;'!V14*'National data'!$Z16/1000000</f>
        <v>2863.3805222855744</v>
      </c>
      <c r="BY14" s="192">
        <f>'Supply calc &gt;&gt;&gt;'!V14*Multipliers!$E14</f>
        <v>429702397.61447912</v>
      </c>
      <c r="BZ14" s="118">
        <f>'Supply calc &gt;&gt;&gt;'!X14*'National data'!$Z16/1000000</f>
        <v>44.796782347681713</v>
      </c>
      <c r="CA14" s="192">
        <f>'Supply calc &gt;&gt;&gt;'!X14*Multipliers!$E14</f>
        <v>6722573.0671827961</v>
      </c>
      <c r="CB14" s="234">
        <f>'Supply calc &gt;&gt;&gt;'!Z14*'National data'!$Z16/1000000</f>
        <v>11368.119809476091</v>
      </c>
      <c r="CC14" s="229">
        <f>'Supply calc &gt;&gt;&gt;'!Z14*Multipliers!$E14</f>
        <v>1705993422.9773128</v>
      </c>
    </row>
    <row r="15" spans="1:81">
      <c r="A15" s="9">
        <v>14</v>
      </c>
      <c r="B15" s="1" t="s">
        <v>378</v>
      </c>
      <c r="C15" s="1" t="s">
        <v>379</v>
      </c>
      <c r="D15" s="1">
        <v>1</v>
      </c>
      <c r="E15" s="191">
        <f>'Supply calc &gt;&gt;&gt;'!E15*'Farms proportions'!AK16</f>
        <v>93558752.892216623</v>
      </c>
      <c r="F15" s="118">
        <f>E15/'National data'!$S17/'Assumptions data'!$AA16</f>
        <v>1782.0714836612692</v>
      </c>
      <c r="G15" s="240">
        <f>'Supply calc &gt;&gt;&gt;'!E15*'Farms proportions'!AL16</f>
        <v>107559032.50416432</v>
      </c>
      <c r="H15" s="118">
        <f>G15/'National data'!$T17/'Assumptions data'!$AA16</f>
        <v>531.15571606994729</v>
      </c>
      <c r="I15" s="118">
        <f>F15*'National data'!V17+H15*'National data'!X16</f>
        <v>850393.13419952965</v>
      </c>
      <c r="J15" s="242">
        <f>'Supply calc &gt;&gt;&gt;'!G15*'Farms proportions'!$AK16</f>
        <v>16968492.017534435</v>
      </c>
      <c r="K15" s="234">
        <f>J15/'National data'!$S17/'Assumptions data'!$AA16</f>
        <v>323.20937176256069</v>
      </c>
      <c r="L15" s="230">
        <f>'Supply calc &gt;&gt;&gt;'!G15*'Farms proportions'!$AL16</f>
        <v>19507683.974403154</v>
      </c>
      <c r="M15" s="118">
        <f>L15/'National data'!$T17/'Assumptions data'!$AA16</f>
        <v>96.334241848904469</v>
      </c>
      <c r="N15" s="118">
        <f>K15*'National data'!$V17+M15*'National data'!$X16</f>
        <v>154233.44864434662</v>
      </c>
      <c r="O15" s="242">
        <f>'Supply calc &gt;&gt;&gt;'!I15*'Farms proportions'!$AK16</f>
        <v>14239544.076147396</v>
      </c>
      <c r="P15" s="234">
        <f>O15/'National data'!$S17/'Assumptions data'!$AA16</f>
        <v>271.22941097423615</v>
      </c>
      <c r="Q15" s="230">
        <f>'Supply calc &gt;&gt;&gt;'!I15*'Farms proportions'!$AL16</f>
        <v>16370371.951144669</v>
      </c>
      <c r="R15" s="118">
        <f>Q15/'National data'!$T17/'Assumptions data'!$AA16</f>
        <v>80.841342968615649</v>
      </c>
      <c r="S15" s="118">
        <f>P15*'National data'!$V17+R15*'National data'!$X16</f>
        <v>129428.94322712508</v>
      </c>
      <c r="T15" s="242">
        <f>'Supply calc &gt;&gt;&gt;'!K15*'Farms proportions'!$AK16</f>
        <v>49905896.72703135</v>
      </c>
      <c r="U15" s="234">
        <f>T15/'National data'!$S17/'Assumptions data'!$AA16</f>
        <v>950.58850908631143</v>
      </c>
      <c r="V15" s="230">
        <f>'Supply calc &gt;&gt;&gt;'!K15*'Farms proportions'!$AL16</f>
        <v>57373893.967955992</v>
      </c>
      <c r="W15" s="118">
        <f>V15/'National data'!$T17/'Assumptions data'!$AA16</f>
        <v>283.32787144669624</v>
      </c>
      <c r="X15" s="118">
        <f>U15*'National data'!$V17+W15*'National data'!$X16</f>
        <v>453614.76741390908</v>
      </c>
      <c r="Y15" s="242">
        <f>'Supply calc &gt;&gt;&gt;'!M15*'Farms proportions'!$AK16</f>
        <v>725560.81559361855</v>
      </c>
      <c r="Z15" s="234">
        <f>Y15/'National data'!$S17/'Assumptions data'!$AA16</f>
        <v>13.820206011307022</v>
      </c>
      <c r="AA15" s="230">
        <f>'Supply calc &gt;&gt;&gt;'!M15*'Farms proportions'!$AL16</f>
        <v>834134.88247420173</v>
      </c>
      <c r="AB15" s="118">
        <f>AA15/'National data'!$T17/'Assumptions data'!$AA16</f>
        <v>4.1191846048108731</v>
      </c>
      <c r="AC15" s="118">
        <f>Z15*'National data'!$V17+AB15*'National data'!$X16</f>
        <v>6594.9140721857038</v>
      </c>
      <c r="AD15" s="191">
        <f>'Supply calc &gt;&gt;&gt;'!O15*'Farms proportions'!AK16</f>
        <v>25926516.256735396</v>
      </c>
      <c r="AE15" s="118">
        <f>AD15/'National data'!$S17/'Assumptions data'!$AA16</f>
        <v>493.83840489019803</v>
      </c>
      <c r="AF15" s="240">
        <f>'Supply calc &gt;&gt;&gt;'!O15*'Farms proportions'!AL16</f>
        <v>29806201.115042225</v>
      </c>
      <c r="AG15" s="118">
        <f>AF15/'National data'!$T17/'Assumptions data'!$AA16</f>
        <v>147.1911166174925</v>
      </c>
      <c r="AH15" s="178">
        <f>AE15*'National data'!V16+AG15*'National data'!X16</f>
        <v>235656.53385568457</v>
      </c>
      <c r="AI15" s="191">
        <f>'Supply calc &gt;&gt;&gt;'!Q15*'Farms proportions'!$AK16</f>
        <v>18893639.168897796</v>
      </c>
      <c r="AJ15" s="118">
        <f>AI15/'National data'!$S17/'Assumptions data'!$AA16</f>
        <v>359.87884131233898</v>
      </c>
      <c r="AK15" s="240">
        <f>'Supply calc &gt;&gt;&gt;'!Q15*'Farms proportions'!$AL16</f>
        <v>21720913.187359214</v>
      </c>
      <c r="AL15" s="118">
        <f>AK15/'National data'!$T17/'Assumptions data'!$AA16</f>
        <v>107.26376882646525</v>
      </c>
      <c r="AM15" s="178">
        <f>AJ15*'National data'!$V16+AL15*'National data'!$X16</f>
        <v>171731.8853938106</v>
      </c>
      <c r="AN15" s="191">
        <f>'Supply calc &gt;&gt;&gt;'!S15*'Farms proportions'!$AK16</f>
        <v>4901232.7288172264</v>
      </c>
      <c r="AO15" s="118">
        <f>AN15/'National data'!$S17/'Assumptions data'!$AA16</f>
        <v>93.356813882232885</v>
      </c>
      <c r="AP15" s="240">
        <f>'Supply calc &gt;&gt;&gt;'!S15*'Farms proportions'!$AL16</f>
        <v>5634660.9386365889</v>
      </c>
      <c r="AQ15" s="118">
        <f>AP15/'National data'!$T17/'Assumptions data'!$AA16</f>
        <v>27.825486116723894</v>
      </c>
      <c r="AR15" s="178">
        <f>AO15*'National data'!$V16+AQ15*'National data'!$X16</f>
        <v>44549.275539209732</v>
      </c>
      <c r="AS15" s="191">
        <f>'Supply calc &gt;&gt;&gt;'!U15*'Farms proportions'!$AK16</f>
        <v>5834051.0517979441</v>
      </c>
      <c r="AT15" s="118">
        <f>AS15/'National data'!$S17/'Assumptions data'!$AA16</f>
        <v>111.12478193900847</v>
      </c>
      <c r="AU15" s="240">
        <f>'Supply calc &gt;&gt;&gt;'!U15*'Farms proportions'!$AL16</f>
        <v>6707067.6693841731</v>
      </c>
      <c r="AV15" s="118">
        <f>AU15/'National data'!$T17/'Assumptions data'!$AA16</f>
        <v>33.121321824119377</v>
      </c>
      <c r="AW15" s="178">
        <f>AT15*'National data'!$V16+AV15*'National data'!$X16</f>
        <v>53028.036454633562</v>
      </c>
      <c r="AX15" s="191">
        <f>'Supply calc &gt;&gt;&gt;'!W15*'Farms proportions'!$AK16</f>
        <v>198894.44765261209</v>
      </c>
      <c r="AY15" s="118">
        <f>AX15/'National data'!$S17/'Assumptions data'!$AA16</f>
        <v>3.7884656695735637</v>
      </c>
      <c r="AZ15" s="240">
        <f>'Supply calc &gt;&gt;&gt;'!W15*'Farms proportions'!$AL16</f>
        <v>228657.32706602631</v>
      </c>
      <c r="BA15" s="118">
        <f>AZ15/'National data'!$T17/'Assumptions data'!$AA16</f>
        <v>1.1291719855112412</v>
      </c>
      <c r="BB15" s="118">
        <f>AY15*'National data'!$V16+BA15*'National data'!$X16</f>
        <v>1807.8316297037784</v>
      </c>
      <c r="BC15" s="78">
        <f>'Supply calc &gt;&gt;&gt;'!Y15*'Farms proportions'!AK16</f>
        <v>22061303.625989303</v>
      </c>
      <c r="BD15" s="234">
        <f>BC15/'National data'!$S17/'Assumptions data'!$AA16</f>
        <v>420.21530716170099</v>
      </c>
      <c r="BE15" s="118">
        <f>'Supply calc &gt;&gt;&gt;'!Y15*'Farms proportions'!AL16</f>
        <v>25362591.958933946</v>
      </c>
      <c r="BF15" s="234">
        <f>BE15/'National data'!$T17/'Assumptions data'!$AA16</f>
        <v>125.24736769843925</v>
      </c>
      <c r="BG15" s="235">
        <f>BD15*'National data'!$V16+BF15*'National data'!$X16</f>
        <v>200524.06167326376</v>
      </c>
      <c r="BH15" s="118">
        <f>'Supply calc &gt;&gt;&gt;'!F15*'National data'!Z17/1000000</f>
        <v>52358.543259782855</v>
      </c>
      <c r="BI15" s="192">
        <f>'Supply calc &gt;&gt;&gt;'!F15*Multipliers!E15</f>
        <v>7500200603.3795357</v>
      </c>
      <c r="BJ15" s="247">
        <f>'Supply calc &gt;&gt;&gt;'!H15*'National data'!$Z17/1000000</f>
        <v>9496.1240492044726</v>
      </c>
      <c r="BK15" s="229">
        <f>'Supply calc &gt;&gt;&gt;'!H15*Multipliers!$E15</f>
        <v>1360290620.9638059</v>
      </c>
      <c r="BL15" s="247">
        <f>'Supply calc &gt;&gt;&gt;'!J15*'National data'!$Z17/1000000</f>
        <v>7968.9153763033255</v>
      </c>
      <c r="BM15" s="229">
        <f>'Supply calc &gt;&gt;&gt;'!J15*Multipliers!$E15</f>
        <v>1141522666.455456</v>
      </c>
      <c r="BN15" s="247">
        <f>'Supply calc &gt;&gt;&gt;'!L15*'National data'!$Z17/1000000</f>
        <v>27928.974809132029</v>
      </c>
      <c r="BO15" s="229">
        <f>'Supply calc &gt;&gt;&gt;'!L15*Multipliers!$E15</f>
        <v>4000739911.2672081</v>
      </c>
      <c r="BP15" s="247">
        <f>'Supply calc &gt;&gt;&gt;'!N15*'National data'!$Z17/1000000</f>
        <v>406.04760299260289</v>
      </c>
      <c r="BQ15" s="229">
        <f>'Supply calc &gt;&gt;&gt;'!N15*Multipliers!$E15</f>
        <v>58165072.734274626</v>
      </c>
      <c r="BR15" s="118">
        <f>'Supply calc &gt;&gt;&gt;'!P15*'National data'!Z17/1000000</f>
        <v>7530.849335114056</v>
      </c>
      <c r="BS15" s="192">
        <f>'Supply calc &gt;&gt;&gt;'!P15*Multipliers!E15</f>
        <v>1078771050.7325728</v>
      </c>
      <c r="BT15" s="118">
        <f>'Supply calc &gt;&gt;&gt;'!R15*'National data'!$Z17/1000000</f>
        <v>5488.0165373554528</v>
      </c>
      <c r="BU15" s="192">
        <f>'Supply calc &gt;&gt;&gt;'!R15*Multipliers!$E15</f>
        <v>786141523.08638811</v>
      </c>
      <c r="BV15" s="118">
        <f>'Supply calc &gt;&gt;&gt;'!T15*'National data'!$Z17/1000000</f>
        <v>1423.6561854878428</v>
      </c>
      <c r="BW15" s="240">
        <f>'Supply calc &gt;&gt;&gt;'!T15*Multipliers!$E15</f>
        <v>203934378.54873601</v>
      </c>
      <c r="BX15" s="78">
        <f>'Supply calc &gt;&gt;&gt;'!V15*'National data'!$Z17/1000000</f>
        <v>1694.6109939872899</v>
      </c>
      <c r="BY15" s="192">
        <f>'Supply calc &gt;&gt;&gt;'!V15*Multipliers!$E15</f>
        <v>242747823.1496118</v>
      </c>
      <c r="BZ15" s="118">
        <f>'Supply calc &gt;&gt;&gt;'!X15*'National data'!$Z17/1000000</f>
        <v>57.772671963724754</v>
      </c>
      <c r="CA15" s="192">
        <f>'Supply calc &gt;&gt;&gt;'!X15*Multipliers!$E15</f>
        <v>8275757.921133833</v>
      </c>
      <c r="CB15" s="234">
        <f>'Supply calc &gt;&gt;&gt;'!Z15*'National data'!$Z17/1000000</f>
        <v>6408.1248748708986</v>
      </c>
      <c r="CC15" s="229">
        <f>'Supply calc &gt;&gt;&gt;'!Z15*Multipliers!$E15</f>
        <v>917944218.09201145</v>
      </c>
    </row>
    <row r="16" spans="1:81">
      <c r="A16" s="9">
        <v>15</v>
      </c>
      <c r="B16" s="1" t="s">
        <v>383</v>
      </c>
      <c r="C16" s="1" t="s">
        <v>384</v>
      </c>
      <c r="D16" s="1">
        <v>0</v>
      </c>
      <c r="E16" s="191">
        <f>'Supply calc &gt;&gt;&gt;'!E16*'Farms proportions'!AK17</f>
        <v>8642570.270906847</v>
      </c>
      <c r="F16" s="118">
        <f>E16/'National data'!$S18/'Assumptions data'!$AA17</f>
        <v>164.62038611251137</v>
      </c>
      <c r="G16" s="240">
        <f>'Supply calc &gt;&gt;&gt;'!E16*'Farms proportions'!AL17</f>
        <v>28383620.64403272</v>
      </c>
      <c r="H16" s="118">
        <f>G16/'National data'!$T18/'Assumptions data'!$AA17</f>
        <v>140.16602787176652</v>
      </c>
      <c r="I16" s="118">
        <f>F16*'National data'!V18+H16*'National data'!X17</f>
        <v>153804.44821406927</v>
      </c>
      <c r="J16" s="242">
        <f>'Supply calc &gt;&gt;&gt;'!G16*'Farms proportions'!$AK17</f>
        <v>2326623.2752556605</v>
      </c>
      <c r="K16" s="234">
        <f>J16/'National data'!$S18/'Assumptions data'!$AA17</f>
        <v>44.316633814393533</v>
      </c>
      <c r="L16" s="230">
        <f>'Supply calc &gt;&gt;&gt;'!G16*'Farms proportions'!$AL17</f>
        <v>7641013.0732445139</v>
      </c>
      <c r="M16" s="118">
        <f>L16/'National data'!$T18/'Assumptions data'!$AA17</f>
        <v>37.733397892565499</v>
      </c>
      <c r="N16" s="118">
        <f>K16*'National data'!$V18+M16*'National data'!$X17</f>
        <v>41404.929070384009</v>
      </c>
      <c r="O16" s="242">
        <f>'Supply calc &gt;&gt;&gt;'!I16*'Farms proportions'!$AK17</f>
        <v>1656071.6523226879</v>
      </c>
      <c r="P16" s="234">
        <f>O16/'National data'!$S18/'Assumptions data'!$AA17</f>
        <v>31.544221949003582</v>
      </c>
      <c r="Q16" s="230">
        <f>'Supply calc &gt;&gt;&gt;'!I16*'Farms proportions'!$AL17</f>
        <v>5438811.3796535498</v>
      </c>
      <c r="R16" s="118">
        <f>Q16/'National data'!$T18/'Assumptions data'!$AA17</f>
        <v>26.858327800758271</v>
      </c>
      <c r="S16" s="118">
        <f>P16*'National data'!$V18+R16*'National data'!$X17</f>
        <v>29471.694033646163</v>
      </c>
      <c r="T16" s="242">
        <f>'Supply calc &gt;&gt;&gt;'!K16*'Farms proportions'!$AK17</f>
        <v>5743281.861005744</v>
      </c>
      <c r="U16" s="234">
        <f>T16/'National data'!$S18/'Assumptions data'!$AA17</f>
        <v>109.39584497153798</v>
      </c>
      <c r="V16" s="230">
        <f>'Supply calc &gt;&gt;&gt;'!K16*'Farms proportions'!$AL17</f>
        <v>18861881.18635181</v>
      </c>
      <c r="W16" s="118">
        <f>V16/'National data'!$T18/'Assumptions data'!$AA17</f>
        <v>93.145092278280543</v>
      </c>
      <c r="X16" s="118">
        <f>U16*'National data'!$V18+W16*'National data'!$X17</f>
        <v>102208.286410285</v>
      </c>
      <c r="Y16" s="242">
        <f>'Supply calc &gt;&gt;&gt;'!M16*'Farms proportions'!$AK17</f>
        <v>82238.107975235325</v>
      </c>
      <c r="Z16" s="234">
        <f>Y16/'National data'!$S18/'Assumptions data'!$AA17</f>
        <v>1.5664401519092443</v>
      </c>
      <c r="AA16" s="230">
        <f>'Supply calc &gt;&gt;&gt;'!M16*'Farms proportions'!$AL17</f>
        <v>270083.45736101922</v>
      </c>
      <c r="AB16" s="118">
        <f>AA16/'National data'!$T18/'Assumptions data'!$AA17</f>
        <v>1.3337454684494776</v>
      </c>
      <c r="AC16" s="118">
        <f>Z16*'National data'!$V18+AB16*'National data'!$X17</f>
        <v>1463.5214320303039</v>
      </c>
      <c r="AD16" s="191">
        <f>'Supply calc &gt;&gt;&gt;'!O16*'Farms proportions'!AK17</f>
        <v>2249538.168653226</v>
      </c>
      <c r="AE16" s="118">
        <f>AD16/'National data'!$S18/'Assumptions data'!$AA17</f>
        <v>42.848346069585254</v>
      </c>
      <c r="AF16" s="240">
        <f>'Supply calc &gt;&gt;&gt;'!O16*'Farms proportions'!AL17</f>
        <v>7387852.9189703213</v>
      </c>
      <c r="AG16" s="118">
        <f>AF16/'National data'!$T18/'Assumptions data'!$AA17</f>
        <v>36.483224291211471</v>
      </c>
      <c r="AH16" s="178">
        <f>AE16*'National data'!V17+AG16*'National data'!X17</f>
        <v>40033.111206614871</v>
      </c>
      <c r="AI16" s="191">
        <f>'Supply calc &gt;&gt;&gt;'!Q16*'Farms proportions'!$AK17</f>
        <v>1704705.5978544247</v>
      </c>
      <c r="AJ16" s="118">
        <f>AI16/'National data'!$S18/'Assumptions data'!$AA17</f>
        <v>32.470582816274757</v>
      </c>
      <c r="AK16" s="240">
        <f>'Supply calc &gt;&gt;&gt;'!Q16*'Farms proportions'!$AL17</f>
        <v>5598533.2467747442</v>
      </c>
      <c r="AL16" s="118">
        <f>AK16/'National data'!$T18/'Assumptions data'!$AA17</f>
        <v>27.647077761850589</v>
      </c>
      <c r="AM16" s="178">
        <f>AJ16*'National data'!$V17+AL16*'National data'!$X17</f>
        <v>30337.190861848052</v>
      </c>
      <c r="AN16" s="191">
        <f>'Supply calc &gt;&gt;&gt;'!S16*'Farms proportions'!$AK17</f>
        <v>499330.95829916146</v>
      </c>
      <c r="AO16" s="118">
        <f>AN16/'National data'!$S18/'Assumptions data'!$AA17</f>
        <v>9.5110658723649806</v>
      </c>
      <c r="AP16" s="240">
        <f>'Supply calc &gt;&gt;&gt;'!S16*'Farms proportions'!$AL17</f>
        <v>1639884.9013578917</v>
      </c>
      <c r="AQ16" s="118">
        <f>AP16/'National data'!$T18/'Assumptions data'!$AA17</f>
        <v>8.098197043742676</v>
      </c>
      <c r="AR16" s="178">
        <f>AO16*'National data'!$V17+AQ16*'National data'!$X17</f>
        <v>8886.1669746477601</v>
      </c>
      <c r="AS16" s="191">
        <f>'Supply calc &gt;&gt;&gt;'!U16*'Farms proportions'!$AK17</f>
        <v>594172.1424972543</v>
      </c>
      <c r="AT16" s="118">
        <f>AS16/'National data'!$S18/'Assumptions data'!$AA17</f>
        <v>11.31756461899532</v>
      </c>
      <c r="AU16" s="240">
        <f>'Supply calc &gt;&gt;&gt;'!U16*'Farms proportions'!$AL17</f>
        <v>1951358.9315744881</v>
      </c>
      <c r="AV16" s="118">
        <f>AU16/'National data'!$T18/'Assumptions data'!$AA17</f>
        <v>9.6363404028369786</v>
      </c>
      <c r="AW16" s="178">
        <f>AT16*'National data'!$V17+AV16*'National data'!$X17</f>
        <v>10573.974599731264</v>
      </c>
      <c r="AX16" s="191">
        <f>'Supply calc &gt;&gt;&gt;'!W16*'Farms proportions'!$AK17</f>
        <v>13403.691758385783</v>
      </c>
      <c r="AY16" s="118">
        <f>AX16/'National data'!$S18/'Assumptions data'!$AA17</f>
        <v>0.2553084144454435</v>
      </c>
      <c r="AZ16" s="240">
        <f>'Supply calc &gt;&gt;&gt;'!W16*'Farms proportions'!$AL17</f>
        <v>44019.925806128347</v>
      </c>
      <c r="BA16" s="118">
        <f>AZ16/'National data'!$T18/'Assumptions data'!$AA17</f>
        <v>0.21738234965989309</v>
      </c>
      <c r="BB16" s="118">
        <f>AY16*'National data'!$V17+BA16*'National data'!$X17</f>
        <v>238.53406455596914</v>
      </c>
      <c r="BC16" s="78">
        <f>'Supply calc &gt;&gt;&gt;'!Y16*'Farms proportions'!AK17</f>
        <v>1809238.375455179</v>
      </c>
      <c r="BD16" s="234">
        <f>BC16/'National data'!$S18/'Assumptions data'!$AA17</f>
        <v>34.461683342003411</v>
      </c>
      <c r="BE16" s="118">
        <f>'Supply calc &gt;&gt;&gt;'!Y16*'Farms proportions'!AL17</f>
        <v>5941836.0619424284</v>
      </c>
      <c r="BF16" s="234">
        <f>BE16/'National data'!$T18/'Assumptions data'!$AA17</f>
        <v>29.342400305888539</v>
      </c>
      <c r="BG16" s="235">
        <f>BD16*'National data'!$V17+BF16*'National data'!$X17</f>
        <v>32197.471504666722</v>
      </c>
      <c r="BH16" s="118">
        <f>'Supply calc &gt;&gt;&gt;'!F16*'National data'!Z18/1000000</f>
        <v>22177.765470777696</v>
      </c>
      <c r="BI16" s="192">
        <f>'Supply calc &gt;&gt;&gt;'!F16*Multipliers!E16</f>
        <v>3176896827.3283191</v>
      </c>
      <c r="BJ16" s="247">
        <f>'Supply calc &gt;&gt;&gt;'!H16*'National data'!$Z18/1000000</f>
        <v>5970.3657268682509</v>
      </c>
      <c r="BK16" s="229">
        <f>'Supply calc &gt;&gt;&gt;'!H16*Multipliers!$E16</f>
        <v>855236563.87607968</v>
      </c>
      <c r="BL16" s="247">
        <f>'Supply calc &gt;&gt;&gt;'!J16*'National data'!$Z18/1000000</f>
        <v>4249.6580943809995</v>
      </c>
      <c r="BM16" s="229">
        <f>'Supply calc &gt;&gt;&gt;'!J16*Multipliers!$E16</f>
        <v>608750477.36699176</v>
      </c>
      <c r="BN16" s="247">
        <f>'Supply calc &gt;&gt;&gt;'!L16*'National data'!$Z18/1000000</f>
        <v>14737.879375390034</v>
      </c>
      <c r="BO16" s="229">
        <f>'Supply calc &gt;&gt;&gt;'!L16*Multipliers!$E16</f>
        <v>2111155981.4678767</v>
      </c>
      <c r="BP16" s="247">
        <f>'Supply calc &gt;&gt;&gt;'!N16*'National data'!$Z18/1000000</f>
        <v>211.03183593135984</v>
      </c>
      <c r="BQ16" s="229">
        <f>'Supply calc &gt;&gt;&gt;'!N16*Multipliers!$E16</f>
        <v>30229662.718680467</v>
      </c>
      <c r="BR16" s="118">
        <f>'Supply calc &gt;&gt;&gt;'!P16*'National data'!Z18/1000000</f>
        <v>2996.1592790034601</v>
      </c>
      <c r="BS16" s="192">
        <f>'Supply calc &gt;&gt;&gt;'!P16*Multipliers!E16</f>
        <v>429190619.77539331</v>
      </c>
      <c r="BT16" s="118">
        <f>'Supply calc &gt;&gt;&gt;'!R16*'National data'!$Z18/1000000</f>
        <v>2270.496925170432</v>
      </c>
      <c r="BU16" s="192">
        <f>'Supply calc &gt;&gt;&gt;'!R16*Multipliers!$E16</f>
        <v>325241715.06534159</v>
      </c>
      <c r="BV16" s="118">
        <f>'Supply calc &gt;&gt;&gt;'!T16*'National data'!$Z18/1000000</f>
        <v>665.05876843930446</v>
      </c>
      <c r="BW16" s="240">
        <f>'Supply calc &gt;&gt;&gt;'!T16*Multipliers!$E16</f>
        <v>95267627.12977758</v>
      </c>
      <c r="BX16" s="78">
        <f>'Supply calc &gt;&gt;&gt;'!V16*'National data'!$Z18/1000000</f>
        <v>791.37771604663249</v>
      </c>
      <c r="BY16" s="192">
        <f>'Supply calc &gt;&gt;&gt;'!V16*Multipliers!$E16</f>
        <v>113362428.62878093</v>
      </c>
      <c r="BZ16" s="118">
        <f>'Supply calc &gt;&gt;&gt;'!X16*'National data'!$Z18/1000000</f>
        <v>17.852373431313183</v>
      </c>
      <c r="CA16" s="192">
        <f>'Supply calc &gt;&gt;&gt;'!X16*Multipliers!$E16</f>
        <v>2557297.6947992966</v>
      </c>
      <c r="CB16" s="234">
        <f>'Supply calc &gt;&gt;&gt;'!Z16*'National data'!$Z18/1000000</f>
        <v>2409.7241034120943</v>
      </c>
      <c r="CC16" s="229">
        <f>'Supply calc &gt;&gt;&gt;'!Z16*Multipliers!$E16</f>
        <v>345185580.97990435</v>
      </c>
    </row>
    <row r="17" spans="1:81">
      <c r="A17" s="9">
        <v>16</v>
      </c>
      <c r="B17" s="1" t="s">
        <v>388</v>
      </c>
      <c r="C17" s="1" t="s">
        <v>389</v>
      </c>
      <c r="D17" s="1">
        <v>0</v>
      </c>
      <c r="E17" s="191">
        <f>'Supply calc &gt;&gt;&gt;'!E17*'Farms proportions'!AK18</f>
        <v>3564589.7878035367</v>
      </c>
      <c r="F17" s="118">
        <f>E17/'National data'!$S19/'Assumptions data'!$AA18</f>
        <v>67.896948339114985</v>
      </c>
      <c r="G17" s="240">
        <f>'Supply calc &gt;&gt;&gt;'!E17*'Farms proportions'!AL18</f>
        <v>6359193.870151883</v>
      </c>
      <c r="H17" s="118">
        <f>G17/'National data'!$T19/'Assumptions data'!$AA18</f>
        <v>31.40342651926856</v>
      </c>
      <c r="I17" s="118">
        <f>F17*'National data'!V19+H17*'National data'!X18</f>
        <v>41623.425371251389</v>
      </c>
      <c r="J17" s="242">
        <f>'Supply calc &gt;&gt;&gt;'!G17*'Farms proportions'!$AK18</f>
        <v>670807.93778899382</v>
      </c>
      <c r="K17" s="234">
        <f>J17/'National data'!$S19/'Assumptions data'!$AA18</f>
        <v>12.777294053123692</v>
      </c>
      <c r="L17" s="230">
        <f>'Supply calc &gt;&gt;&gt;'!G17*'Farms proportions'!$AL18</f>
        <v>1196714.9040915407</v>
      </c>
      <c r="M17" s="118">
        <f>L17/'National data'!$T19/'Assumptions data'!$AA18</f>
        <v>5.909703230081683</v>
      </c>
      <c r="N17" s="118">
        <f>K17*'National data'!$V19+M17*'National data'!$X18</f>
        <v>7832.9697943190422</v>
      </c>
      <c r="O17" s="242">
        <f>'Supply calc &gt;&gt;&gt;'!I17*'Farms proportions'!$AK18</f>
        <v>790722.96709764202</v>
      </c>
      <c r="P17" s="234">
        <f>O17/'National data'!$S19/'Assumptions data'!$AA18</f>
        <v>15.061389849478894</v>
      </c>
      <c r="Q17" s="230">
        <f>'Supply calc &gt;&gt;&gt;'!I17*'Farms proportions'!$AL18</f>
        <v>1410642.1621249323</v>
      </c>
      <c r="R17" s="118">
        <f>Q17/'National data'!$T19/'Assumptions data'!$AA18</f>
        <v>6.9661341339502831</v>
      </c>
      <c r="S17" s="118">
        <f>P17*'National data'!$V19+R17*'National data'!$X18</f>
        <v>9233.2078498725587</v>
      </c>
      <c r="T17" s="242">
        <f>'Supply calc &gt;&gt;&gt;'!K17*'Farms proportions'!$AK18</f>
        <v>2163503.2725625834</v>
      </c>
      <c r="U17" s="234">
        <f>T17/'National data'!$S19/'Assumptions data'!$AA18</f>
        <v>41.209586144049211</v>
      </c>
      <c r="V17" s="230">
        <f>'Supply calc &gt;&gt;&gt;'!K17*'Farms proportions'!$AL18</f>
        <v>3859669.0132502289</v>
      </c>
      <c r="W17" s="118">
        <f>V17/'National data'!$T19/'Assumptions data'!$AA18</f>
        <v>19.060093892593724</v>
      </c>
      <c r="X17" s="118">
        <f>U17*'National data'!$V19+W17*'National data'!$X18</f>
        <v>25263.051954557784</v>
      </c>
      <c r="Y17" s="242">
        <f>'Supply calc &gt;&gt;&gt;'!M17*'Farms proportions'!$AK18</f>
        <v>80273.42288344042</v>
      </c>
      <c r="Z17" s="234">
        <f>Y17/'National data'!$S19/'Assumptions data'!$AA18</f>
        <v>1.5290175787321987</v>
      </c>
      <c r="AA17" s="230">
        <f>'Supply calc &gt;&gt;&gt;'!M17*'Farms proportions'!$AL18</f>
        <v>143207.01374478021</v>
      </c>
      <c r="AB17" s="118">
        <f>AA17/'National data'!$T19/'Assumptions data'!$AA18</f>
        <v>0.707195129603853</v>
      </c>
      <c r="AC17" s="118">
        <f>Z17*'National data'!$V19+AB17*'National data'!$X18</f>
        <v>937.34623773992053</v>
      </c>
      <c r="AD17" s="191">
        <f>'Supply calc &gt;&gt;&gt;'!O17*'Farms proportions'!AK18</f>
        <v>992831.92010190117</v>
      </c>
      <c r="AE17" s="118">
        <f>AD17/'National data'!$S19/'Assumptions data'!$AA18</f>
        <v>18.911084192417167</v>
      </c>
      <c r="AF17" s="240">
        <f>'Supply calc &gt;&gt;&gt;'!O17*'Farms proportions'!AL18</f>
        <v>1771202.5888660573</v>
      </c>
      <c r="AG17" s="118">
        <f>AF17/'National data'!$T19/'Assumptions data'!$AA18</f>
        <v>8.7466794511904062</v>
      </c>
      <c r="AH17" s="178">
        <f>AE17*'National data'!V18+AG17*'National data'!X18</f>
        <v>11593.21767513164</v>
      </c>
      <c r="AI17" s="191">
        <f>'Supply calc &gt;&gt;&gt;'!Q17*'Farms proportions'!$AK18</f>
        <v>477796.60807131062</v>
      </c>
      <c r="AJ17" s="118">
        <f>AI17/'National data'!$S19/'Assumptions data'!$AA18</f>
        <v>9.1008877727868693</v>
      </c>
      <c r="AK17" s="240">
        <f>'Supply calc &gt;&gt;&gt;'!Q17*'Farms proportions'!$AL18</f>
        <v>852384.54972365045</v>
      </c>
      <c r="AL17" s="118">
        <f>AK17/'National data'!$T19/'Assumptions data'!$AA18</f>
        <v>4.2093064183883975</v>
      </c>
      <c r="AM17" s="178">
        <f>AJ17*'National data'!$V18+AL17*'National data'!$X18</f>
        <v>5579.1921771025827</v>
      </c>
      <c r="AN17" s="191">
        <f>'Supply calc &gt;&gt;&gt;'!S17*'Farms proportions'!$AK18</f>
        <v>180354.42509108374</v>
      </c>
      <c r="AO17" s="118">
        <f>AN17/'National data'!$S19/'Assumptions data'!$AA18</f>
        <v>3.4353223826873092</v>
      </c>
      <c r="AP17" s="240">
        <f>'Supply calc &gt;&gt;&gt;'!S17*'Farms proportions'!$AL18</f>
        <v>321750.55834424641</v>
      </c>
      <c r="AQ17" s="118">
        <f>AP17/'National data'!$T19/'Assumptions data'!$AA18</f>
        <v>1.5888916461444267</v>
      </c>
      <c r="AR17" s="178">
        <f>AO17*'National data'!$V18+AQ17*'National data'!$X18</f>
        <v>2105.9839701160649</v>
      </c>
      <c r="AS17" s="191">
        <f>'Supply calc &gt;&gt;&gt;'!U17*'Farms proportions'!$AK18</f>
        <v>295521.61767056654</v>
      </c>
      <c r="AT17" s="118">
        <f>AS17/'National data'!$S19/'Assumptions data'!$AA18</f>
        <v>5.6289831937250767</v>
      </c>
      <c r="AU17" s="240">
        <f>'Supply calc &gt;&gt;&gt;'!U17*'Farms proportions'!$AL18</f>
        <v>527207.72135354951</v>
      </c>
      <c r="AV17" s="118">
        <f>AU17/'National data'!$T19/'Assumptions data'!$AA18</f>
        <v>2.603494920264442</v>
      </c>
      <c r="AW17" s="178">
        <f>AT17*'National data'!$V18+AV17*'National data'!$X18</f>
        <v>3450.7819218889217</v>
      </c>
      <c r="AX17" s="191">
        <f>'Supply calc &gt;&gt;&gt;'!W17*'Farms proportions'!$AK18</f>
        <v>11543.571991248258</v>
      </c>
      <c r="AY17" s="118">
        <f>AX17/'National data'!$S19/'Assumptions data'!$AA18</f>
        <v>0.21987756173806208</v>
      </c>
      <c r="AZ17" s="240">
        <f>'Supply calc &gt;&gt;&gt;'!W17*'Farms proportions'!$AL18</f>
        <v>20593.621318664002</v>
      </c>
      <c r="BA17" s="118">
        <f>AZ17/'National data'!$T19/'Assumptions data'!$AA18</f>
        <v>0.10169689540080988</v>
      </c>
      <c r="BB17" s="118">
        <f>AY17*'National data'!$V18+BA17*'National data'!$X18</f>
        <v>134.79335236256128</v>
      </c>
      <c r="BC17" s="78">
        <f>'Supply calc &gt;&gt;&gt;'!Y17*'Farms proportions'!AK18</f>
        <v>750179.71034255216</v>
      </c>
      <c r="BD17" s="234">
        <f>BC17/'National data'!$S19/'Assumptions data'!$AA18</f>
        <v>14.289137339858138</v>
      </c>
      <c r="BE17" s="118">
        <f>'Supply calc &gt;&gt;&gt;'!Y17*'Farms proportions'!AL18</f>
        <v>1338313.3823267303</v>
      </c>
      <c r="BF17" s="234">
        <f>BE17/'National data'!$T19/'Assumptions data'!$AA18</f>
        <v>6.6089549744529892</v>
      </c>
      <c r="BG17" s="235">
        <f>BD17*'National data'!$V18+BF17*'National data'!$X18</f>
        <v>8759.7875344053991</v>
      </c>
      <c r="BH17" s="118">
        <f>'Supply calc &gt;&gt;&gt;'!F17*'National data'!Z19/1000000</f>
        <v>20751.969533370033</v>
      </c>
      <c r="BI17" s="192">
        <f>'Supply calc &gt;&gt;&gt;'!F17*Multipliers!E17</f>
        <v>2972655935.8852029</v>
      </c>
      <c r="BJ17" s="247">
        <f>'Supply calc &gt;&gt;&gt;'!H17*'National data'!$Z19/1000000</f>
        <v>3905.2420380516501</v>
      </c>
      <c r="BK17" s="229">
        <f>'Supply calc &gt;&gt;&gt;'!H17*Multipliers!$E17</f>
        <v>559413934.50944507</v>
      </c>
      <c r="BL17" s="247">
        <f>'Supply calc &gt;&gt;&gt;'!J17*'National data'!$Z19/1000000</f>
        <v>4603.351268830661</v>
      </c>
      <c r="BM17" s="229">
        <f>'Supply calc &gt;&gt;&gt;'!J17*Multipliers!$E17</f>
        <v>659415938.91844392</v>
      </c>
      <c r="BN17" s="247">
        <f>'Supply calc &gt;&gt;&gt;'!L17*'National data'!$Z19/1000000</f>
        <v>12595.265281627298</v>
      </c>
      <c r="BO17" s="229">
        <f>'Supply calc &gt;&gt;&gt;'!L17*Multipliers!$E17</f>
        <v>1804233089.4554794</v>
      </c>
      <c r="BP17" s="247">
        <f>'Supply calc &gt;&gt;&gt;'!N17*'National data'!$Z19/1000000</f>
        <v>467.32772217331427</v>
      </c>
      <c r="BQ17" s="229">
        <f>'Supply calc &gt;&gt;&gt;'!N17*Multipliers!$E17</f>
        <v>66943261.702862211</v>
      </c>
      <c r="BR17" s="118">
        <f>'Supply calc &gt;&gt;&gt;'!P17*'National data'!Z19/1000000</f>
        <v>2850.5939130390757</v>
      </c>
      <c r="BS17" s="192">
        <f>'Supply calc &gt;&gt;&gt;'!P17*Multipliers!E17</f>
        <v>408338827.92510641</v>
      </c>
      <c r="BT17" s="118">
        <f>'Supply calc &gt;&gt;&gt;'!R17*'National data'!$Z19/1000000</f>
        <v>1371.8375437596762</v>
      </c>
      <c r="BU17" s="192">
        <f>'Supply calc &gt;&gt;&gt;'!R17*Multipliers!$E17</f>
        <v>196511517.18249115</v>
      </c>
      <c r="BV17" s="118">
        <f>'Supply calc &gt;&gt;&gt;'!T17*'National data'!$Z19/1000000</f>
        <v>517.82906647636594</v>
      </c>
      <c r="BW17" s="240">
        <f>'Supply calc &gt;&gt;&gt;'!T17*Multipliers!$E17</f>
        <v>74177424.256505355</v>
      </c>
      <c r="BX17" s="78">
        <f>'Supply calc &gt;&gt;&gt;'!V17*'National data'!$Z19/1000000</f>
        <v>848.49419871262319</v>
      </c>
      <c r="BY17" s="192">
        <f>'Supply calc &gt;&gt;&gt;'!V17*Multipliers!$E17</f>
        <v>121544189.44723798</v>
      </c>
      <c r="BZ17" s="118">
        <f>'Supply calc &gt;&gt;&gt;'!X17*'National data'!$Z19/1000000</f>
        <v>33.143612112716198</v>
      </c>
      <c r="CA17" s="192">
        <f>'Supply calc &gt;&gt;&gt;'!X17*Multipliers!$E17</f>
        <v>4747720.6982744904</v>
      </c>
      <c r="CB17" s="234">
        <f>'Supply calc &gt;&gt;&gt;'!Z17*'National data'!$Z19/1000000</f>
        <v>2153.8970219333919</v>
      </c>
      <c r="CC17" s="229">
        <f>'Supply calc &gt;&gt;&gt;'!Z17*Multipliers!$E17</f>
        <v>308539136.83902615</v>
      </c>
    </row>
    <row r="18" spans="1:81">
      <c r="A18" s="9">
        <v>17</v>
      </c>
      <c r="B18" s="1" t="s">
        <v>393</v>
      </c>
      <c r="C18" s="1" t="s">
        <v>394</v>
      </c>
      <c r="D18" s="1">
        <v>0</v>
      </c>
      <c r="E18" s="191">
        <f>'Supply calc &gt;&gt;&gt;'!E18*'Farms proportions'!AK19</f>
        <v>41688041.409784593</v>
      </c>
      <c r="F18" s="118">
        <f>E18/'National data'!$S20/'Assumptions data'!$AA19</f>
        <v>794.05793161494466</v>
      </c>
      <c r="G18" s="240">
        <f>'Supply calc &gt;&gt;&gt;'!E18*'Farms proportions'!AL19</f>
        <v>70940955.586306095</v>
      </c>
      <c r="H18" s="118">
        <f>G18/'National data'!$T20/'Assumptions data'!$AA19</f>
        <v>350.32570659904246</v>
      </c>
      <c r="I18" s="118">
        <f>F18*'National data'!V20+H18*'National data'!X19</f>
        <v>472796.41585386131</v>
      </c>
      <c r="J18" s="242">
        <f>'Supply calc &gt;&gt;&gt;'!G18*'Farms proportions'!$AK19</f>
        <v>11243402.713358874</v>
      </c>
      <c r="K18" s="234">
        <f>J18/'National data'!$S20/'Assumptions data'!$AA19</f>
        <v>214.16005168302618</v>
      </c>
      <c r="L18" s="230">
        <f>'Supply calc &gt;&gt;&gt;'!G18*'Farms proportions'!$AL19</f>
        <v>19133010.464246389</v>
      </c>
      <c r="M18" s="118">
        <f>L18/'National data'!$T20/'Assumptions data'!$AA19</f>
        <v>94.484002292574758</v>
      </c>
      <c r="N18" s="118">
        <f>K18*'National data'!$V20+M18*'National data'!$X19</f>
        <v>127514.75783244579</v>
      </c>
      <c r="O18" s="242">
        <f>'Supply calc &gt;&gt;&gt;'!I18*'Farms proportions'!$AK19</f>
        <v>8612587.0844336953</v>
      </c>
      <c r="P18" s="234">
        <f>O18/'National data'!$S20/'Assumptions data'!$AA19</f>
        <v>164.04927779873705</v>
      </c>
      <c r="Q18" s="230">
        <f>'Supply calc &gt;&gt;&gt;'!I18*'Farms proportions'!$AL19</f>
        <v>14656125.286245761</v>
      </c>
      <c r="R18" s="118">
        <f>Q18/'National data'!$T20/'Assumptions data'!$AA19</f>
        <v>72.375927339485244</v>
      </c>
      <c r="S18" s="118">
        <f>P18*'National data'!$V20+R18*'National data'!$X19</f>
        <v>97677.899153923063</v>
      </c>
      <c r="T18" s="242">
        <f>'Supply calc &gt;&gt;&gt;'!K18*'Farms proportions'!$AK19</f>
        <v>17454429.236624271</v>
      </c>
      <c r="U18" s="234">
        <f>T18/'National data'!$S20/'Assumptions data'!$AA19</f>
        <v>332.46531879284328</v>
      </c>
      <c r="V18" s="230">
        <f>'Supply calc &gt;&gt;&gt;'!K18*'Farms proportions'!$AL19</f>
        <v>29702376.206358775</v>
      </c>
      <c r="W18" s="118">
        <f>V18/'National data'!$T20/'Assumptions data'!$AA19</f>
        <v>146.67840101905568</v>
      </c>
      <c r="X18" s="118">
        <f>U18*'National data'!$V20+W18*'National data'!$X19</f>
        <v>197955.8478828868</v>
      </c>
      <c r="Y18" s="242">
        <f>'Supply calc &gt;&gt;&gt;'!M18*'Farms proportions'!$AK19</f>
        <v>488949.92462025094</v>
      </c>
      <c r="Z18" s="234">
        <f>Y18/'National data'!$S20/'Assumptions data'!$AA19</f>
        <v>9.3133318975285899</v>
      </c>
      <c r="AA18" s="230">
        <f>'Supply calc &gt;&gt;&gt;'!M18*'Farms proportions'!$AL19</f>
        <v>832050.96026103199</v>
      </c>
      <c r="AB18" s="118">
        <f>AA18/'National data'!$T20/'Assumptions data'!$AA19</f>
        <v>4.1088936309186765</v>
      </c>
      <c r="AC18" s="118">
        <f>Z18*'National data'!$V20+AB18*'National data'!$X19</f>
        <v>5545.3258074679306</v>
      </c>
      <c r="AD18" s="191">
        <f>'Supply calc &gt;&gt;&gt;'!O18*'Farms proportions'!AK19</f>
        <v>14775010.469924994</v>
      </c>
      <c r="AE18" s="118">
        <f>AD18/'National data'!$S20/'Assumptions data'!$AA19</f>
        <v>281.42877085571422</v>
      </c>
      <c r="AF18" s="240">
        <f>'Supply calc &gt;&gt;&gt;'!O18*'Farms proportions'!AL19</f>
        <v>25142782.584363502</v>
      </c>
      <c r="AG18" s="118">
        <f>AF18/'National data'!$T20/'Assumptions data'!$AA19</f>
        <v>124.16188930549878</v>
      </c>
      <c r="AH18" s="178">
        <f>AE18*'National data'!V19+AG18*'National data'!X19</f>
        <v>167567.76663401199</v>
      </c>
      <c r="AI18" s="191">
        <f>'Supply calc &gt;&gt;&gt;'!Q18*'Farms proportions'!$AK19</f>
        <v>10907337.402274894</v>
      </c>
      <c r="AJ18" s="118">
        <f>AI18/'National data'!$S20/'Assumptions data'!$AA19</f>
        <v>207.75880766237893</v>
      </c>
      <c r="AK18" s="240">
        <f>'Supply calc &gt;&gt;&gt;'!Q18*'Farms proportions'!$AL19</f>
        <v>18561124.774694394</v>
      </c>
      <c r="AL18" s="118">
        <f>AK18/'National data'!$T20/'Assumptions data'!$AA19</f>
        <v>91.659875430589594</v>
      </c>
      <c r="AM18" s="178">
        <f>AJ18*'National data'!$V19+AL18*'National data'!$X19</f>
        <v>123703.34167567654</v>
      </c>
      <c r="AN18" s="191">
        <f>'Supply calc &gt;&gt;&gt;'!S18*'Farms proportions'!$AK19</f>
        <v>2242775.125431037</v>
      </c>
      <c r="AO18" s="118">
        <f>AN18/'National data'!$S20/'Assumptions data'!$AA19</f>
        <v>42.719526198686417</v>
      </c>
      <c r="AP18" s="240">
        <f>'Supply calc &gt;&gt;&gt;'!S18*'Farms proportions'!$AL19</f>
        <v>3816552.7854693574</v>
      </c>
      <c r="AQ18" s="118">
        <f>AP18/'National data'!$T20/'Assumptions data'!$AA19</f>
        <v>18.847174249231397</v>
      </c>
      <c r="AR18" s="178">
        <f>AO18*'National data'!$V19+AQ18*'National data'!$X19</f>
        <v>25435.976481761696</v>
      </c>
      <c r="AS18" s="191">
        <f>'Supply calc &gt;&gt;&gt;'!U18*'Farms proportions'!$AK19</f>
        <v>2008367.8703095291</v>
      </c>
      <c r="AT18" s="118">
        <f>AS18/'National data'!$S20/'Assumptions data'!$AA19</f>
        <v>38.254626101133894</v>
      </c>
      <c r="AU18" s="240">
        <f>'Supply calc &gt;&gt;&gt;'!U18*'Farms proportions'!$AL19</f>
        <v>3417659.6230100668</v>
      </c>
      <c r="AV18" s="118">
        <f>AU18/'National data'!$T20/'Assumptions data'!$AA19</f>
        <v>16.877331471654649</v>
      </c>
      <c r="AW18" s="178">
        <f>AT18*'National data'!$V19+AV18*'National data'!$X19</f>
        <v>22777.494424948669</v>
      </c>
      <c r="AX18" s="191">
        <f>'Supply calc &gt;&gt;&gt;'!W18*'Farms proportions'!$AK19</f>
        <v>118059.89879531311</v>
      </c>
      <c r="AY18" s="118">
        <f>AX18/'National data'!$S20/'Assumptions data'!$AA19</f>
        <v>2.2487599770535831</v>
      </c>
      <c r="AZ18" s="240">
        <f>'Supply calc &gt;&gt;&gt;'!W18*'Farms proportions'!$AL19</f>
        <v>200903.70652424893</v>
      </c>
      <c r="BA18" s="118">
        <f>AZ18/'National data'!$T20/'Assumptions data'!$AA19</f>
        <v>0.99211706925555032</v>
      </c>
      <c r="BB18" s="118">
        <f>AY18*'National data'!$V19+BA18*'National data'!$X19</f>
        <v>1338.9522539044624</v>
      </c>
      <c r="BC18" s="78">
        <f>'Supply calc &gt;&gt;&gt;'!Y18*'Farms proportions'!AK19</f>
        <v>9497551.649347838</v>
      </c>
      <c r="BD18" s="234">
        <f>BC18/'National data'!$S20/'Assumptions data'!$AA19</f>
        <v>180.90574570186359</v>
      </c>
      <c r="BE18" s="118">
        <f>'Supply calc &gt;&gt;&gt;'!Y18*'Farms proportions'!AL19</f>
        <v>16162078.307111204</v>
      </c>
      <c r="BF18" s="234">
        <f>BE18/'National data'!$T20/'Assumptions data'!$AA19</f>
        <v>79.812732380796078</v>
      </c>
      <c r="BG18" s="235">
        <f>BD18*'National data'!$V19+BF18*'National data'!$X19</f>
        <v>107714.54420366805</v>
      </c>
      <c r="BH18" s="118">
        <f>'Supply calc &gt;&gt;&gt;'!F18*'National data'!Z20/1000000</f>
        <v>40503.318579724553</v>
      </c>
      <c r="BI18" s="192">
        <f>'Supply calc &gt;&gt;&gt;'!F18*Multipliers!E18</f>
        <v>5249406910.0597992</v>
      </c>
      <c r="BJ18" s="247">
        <f>'Supply calc &gt;&gt;&gt;'!H18*'National data'!$Z20/1000000</f>
        <v>10923.879045860576</v>
      </c>
      <c r="BK18" s="229">
        <f>'Supply calc &gt;&gt;&gt;'!H18*Multipliers!$E18</f>
        <v>1415782413.8564184</v>
      </c>
      <c r="BL18" s="247">
        <f>'Supply calc &gt;&gt;&gt;'!J18*'National data'!$Z20/1000000</f>
        <v>8367.8279592805065</v>
      </c>
      <c r="BM18" s="229">
        <f>'Supply calc &gt;&gt;&gt;'!J18*Multipliers!$E18</f>
        <v>1084507034.2860138</v>
      </c>
      <c r="BN18" s="247">
        <f>'Supply calc &gt;&gt;&gt;'!L18*'National data'!$Z20/1000000</f>
        <v>16958.395839443787</v>
      </c>
      <c r="BO18" s="229">
        <f>'Supply calc &gt;&gt;&gt;'!L18*Multipliers!$E18</f>
        <v>2197882134.7164526</v>
      </c>
      <c r="BP18" s="247">
        <f>'Supply calc &gt;&gt;&gt;'!N18*'National data'!$Z20/1000000</f>
        <v>475.05456952885567</v>
      </c>
      <c r="BQ18" s="229">
        <f>'Supply calc &gt;&gt;&gt;'!N18*Multipliers!$E18</f>
        <v>61569146.119019486</v>
      </c>
      <c r="BR18" s="118">
        <f>'Supply calc &gt;&gt;&gt;'!P18*'National data'!Z20/1000000</f>
        <v>7079.7312671812451</v>
      </c>
      <c r="BS18" s="192">
        <f>'Supply calc &gt;&gt;&gt;'!P18*Multipliers!E18</f>
        <v>917564079.64831948</v>
      </c>
      <c r="BT18" s="118">
        <f>'Supply calc &gt;&gt;&gt;'!R18*'National data'!$Z20/1000000</f>
        <v>5226.46111187311</v>
      </c>
      <c r="BU18" s="192">
        <f>'Supply calc &gt;&gt;&gt;'!R18*Multipliers!$E18</f>
        <v>677372176.84576452</v>
      </c>
      <c r="BV18" s="118">
        <f>'Supply calc &gt;&gt;&gt;'!T18*'National data'!$Z20/1000000</f>
        <v>1074.6689630502208</v>
      </c>
      <c r="BW18" s="240">
        <f>'Supply calc &gt;&gt;&gt;'!T18*Multipliers!$E18</f>
        <v>139281789.20841879</v>
      </c>
      <c r="BX18" s="78">
        <f>'Supply calc &gt;&gt;&gt;'!V18*'National data'!$Z20/1000000</f>
        <v>962.34820519249104</v>
      </c>
      <c r="BY18" s="192">
        <f>'Supply calc &gt;&gt;&gt;'!V18*Multipliers!$E18</f>
        <v>124724528.64022735</v>
      </c>
      <c r="BZ18" s="118">
        <f>'Supply calc &gt;&gt;&gt;'!X18*'National data'!$Z20/1000000</f>
        <v>56.570677807829306</v>
      </c>
      <c r="CA18" s="192">
        <f>'Supply calc &gt;&gt;&gt;'!X18*Multipliers!$E18</f>
        <v>7331806.8100188049</v>
      </c>
      <c r="CB18" s="234">
        <f>'Supply calc &gt;&gt;&gt;'!Z18*'National data'!$Z20/1000000</f>
        <v>4550.9350744912217</v>
      </c>
      <c r="CC18" s="229">
        <f>'Supply calc &gt;&gt;&gt;'!Z18*Multipliers!$E18</f>
        <v>589821053.3105948</v>
      </c>
    </row>
    <row r="19" spans="1:81">
      <c r="A19" s="9">
        <v>18</v>
      </c>
      <c r="B19" s="1" t="s">
        <v>398</v>
      </c>
      <c r="C19" s="1" t="s">
        <v>399</v>
      </c>
      <c r="D19" s="1">
        <v>0</v>
      </c>
      <c r="E19" s="191">
        <f>'Supply calc &gt;&gt;&gt;'!E19*'Farms proportions'!AK20</f>
        <v>34667319.690851517</v>
      </c>
      <c r="F19" s="118">
        <f>E19/'National data'!$S21/'Assumptions data'!$AA20</f>
        <v>660.32989887336225</v>
      </c>
      <c r="G19" s="240">
        <f>'Supply calc &gt;&gt;&gt;'!E19*'Farms proportions'!AL20</f>
        <v>60022778.043578334</v>
      </c>
      <c r="H19" s="118">
        <f>G19/'National data'!$T21/'Assumptions data'!$AA20</f>
        <v>296.4087804621152</v>
      </c>
      <c r="I19" s="118">
        <f>F19*'National data'!V21+H19*'National data'!X20</f>
        <v>397369.85930145381</v>
      </c>
      <c r="J19" s="242">
        <f>'Supply calc &gt;&gt;&gt;'!G19*'Farms proportions'!$AK20</f>
        <v>12236076.519993698</v>
      </c>
      <c r="K19" s="234">
        <f>J19/'National data'!$S21/'Assumptions data'!$AA20</f>
        <v>233.06812419035614</v>
      </c>
      <c r="L19" s="230">
        <f>'Supply calc &gt;&gt;&gt;'!G19*'Farms proportions'!$AL20</f>
        <v>21185465.494110208</v>
      </c>
      <c r="M19" s="118">
        <f>L19/'National data'!$T21/'Assumptions data'!$AA20</f>
        <v>104.61958268696399</v>
      </c>
      <c r="N19" s="118">
        <f>K19*'National data'!$V21+M19*'National data'!$X20</f>
        <v>140254.51198740455</v>
      </c>
      <c r="O19" s="242">
        <f>'Supply calc &gt;&gt;&gt;'!I19*'Farms proportions'!$AK20</f>
        <v>5777700.1865990339</v>
      </c>
      <c r="P19" s="234">
        <f>O19/'National data'!$S21/'Assumptions data'!$AA20</f>
        <v>110.05143212569588</v>
      </c>
      <c r="Q19" s="230">
        <f>'Supply calc &gt;&gt;&gt;'!I19*'Farms proportions'!$AL20</f>
        <v>10003473.559396388</v>
      </c>
      <c r="R19" s="118">
        <f>Q19/'National data'!$T21/'Assumptions data'!$AA20</f>
        <v>49.39986942911797</v>
      </c>
      <c r="S19" s="118">
        <f>P19*'National data'!$V21+R19*'National data'!$X20</f>
        <v>66226.17296948719</v>
      </c>
      <c r="T19" s="242">
        <f>'Supply calc &gt;&gt;&gt;'!K19*'Farms proportions'!$AK20</f>
        <v>16644503.220872803</v>
      </c>
      <c r="U19" s="234">
        <f>T19/'National data'!$S21/'Assumptions data'!$AA20</f>
        <v>317.03815658805343</v>
      </c>
      <c r="V19" s="230">
        <f>'Supply calc &gt;&gt;&gt;'!K19*'Farms proportions'!$AL20</f>
        <v>28818187.600921329</v>
      </c>
      <c r="W19" s="118">
        <f>V19/'National data'!$T21/'Assumptions data'!$AA20</f>
        <v>142.31203753541396</v>
      </c>
      <c r="X19" s="118">
        <f>U19*'National data'!$V21+W19*'National data'!$X20</f>
        <v>190785.55717609229</v>
      </c>
      <c r="Y19" s="242">
        <f>'Supply calc &gt;&gt;&gt;'!M19*'Farms proportions'!$AK20</f>
        <v>404391.14479195199</v>
      </c>
      <c r="Z19" s="234">
        <f>Y19/'National data'!$S21/'Assumptions data'!$AA20</f>
        <v>7.7026884722276581</v>
      </c>
      <c r="AA19" s="230">
        <f>'Supply calc &gt;&gt;&gt;'!M19*'Farms proportions'!$AL20</f>
        <v>700160.27033786778</v>
      </c>
      <c r="AB19" s="118">
        <f>AA19/'National data'!$T21/'Assumptions data'!$AA20</f>
        <v>3.4575815819153966</v>
      </c>
      <c r="AC19" s="118">
        <f>Z19*'National data'!$V21+AB19*'National data'!$X20</f>
        <v>4635.2834237467068</v>
      </c>
      <c r="AD19" s="191">
        <f>'Supply calc &gt;&gt;&gt;'!O19*'Farms proportions'!AK20</f>
        <v>13517093.125867011</v>
      </c>
      <c r="AE19" s="118">
        <f>AD19/'National data'!$S21/'Assumptions data'!$AA20</f>
        <v>257.46844049270499</v>
      </c>
      <c r="AF19" s="240">
        <f>'Supply calc &gt;&gt;&gt;'!O19*'Farms proportions'!AL20</f>
        <v>23403409.543149646</v>
      </c>
      <c r="AG19" s="118">
        <f>AF19/'National data'!$T21/'Assumptions data'!$AA20</f>
        <v>115.57239280567727</v>
      </c>
      <c r="AH19" s="178">
        <f>AE19*'National data'!V20+AG19*'National data'!X20</f>
        <v>154938.00621130428</v>
      </c>
      <c r="AI19" s="191">
        <f>'Supply calc &gt;&gt;&gt;'!Q19*'Farms proportions'!$AK20</f>
        <v>9898340.8990377169</v>
      </c>
      <c r="AJ19" s="118">
        <f>AI19/'National data'!$S21/'Assumptions data'!$AA20</f>
        <v>188.53982664833748</v>
      </c>
      <c r="AK19" s="240">
        <f>'Supply calc &gt;&gt;&gt;'!Q19*'Farms proportions'!$AL20</f>
        <v>17137924.826054566</v>
      </c>
      <c r="AL19" s="118">
        <f>AK19/'National data'!$T21/'Assumptions data'!$AA20</f>
        <v>84.631727536071935</v>
      </c>
      <c r="AM19" s="178">
        <f>AJ19*'National data'!$V20+AL19*'National data'!$X20</f>
        <v>113458.50690056138</v>
      </c>
      <c r="AN19" s="191">
        <f>'Supply calc &gt;&gt;&gt;'!S19*'Farms proportions'!$AK20</f>
        <v>2605742.7841561614</v>
      </c>
      <c r="AO19" s="118">
        <f>AN19/'National data'!$S21/'Assumptions data'!$AA20</f>
        <v>49.633195888688789</v>
      </c>
      <c r="AP19" s="240">
        <f>'Supply calc &gt;&gt;&gt;'!S19*'Farms proportions'!$AL20</f>
        <v>4511566.5752877668</v>
      </c>
      <c r="AQ19" s="118">
        <f>AP19/'National data'!$T21/'Assumptions data'!$AA20</f>
        <v>22.279341112532183</v>
      </c>
      <c r="AR19" s="178">
        <f>AO19*'National data'!$V20+AQ19*'National data'!$X20</f>
        <v>29868.004009238695</v>
      </c>
      <c r="AS19" s="191">
        <f>'Supply calc &gt;&gt;&gt;'!U19*'Farms proportions'!$AK20</f>
        <v>1814599.0047007119</v>
      </c>
      <c r="AT19" s="118">
        <f>AS19/'National data'!$S21/'Assumptions data'!$AA20</f>
        <v>34.563790565727849</v>
      </c>
      <c r="AU19" s="240">
        <f>'Supply calc &gt;&gt;&gt;'!U19*'Farms proportions'!$AL20</f>
        <v>3141785.2394856927</v>
      </c>
      <c r="AV19" s="118">
        <f>AU19/'National data'!$T21/'Assumptions data'!$AA20</f>
        <v>15.514988836966385</v>
      </c>
      <c r="AW19" s="178">
        <f>AT19*'National data'!$V20+AV19*'National data'!$X20</f>
        <v>20799.616400017367</v>
      </c>
      <c r="AX19" s="191">
        <f>'Supply calc &gt;&gt;&gt;'!W19*'Farms proportions'!$AK20</f>
        <v>94702.739742419741</v>
      </c>
      <c r="AY19" s="118">
        <f>AX19/'National data'!$S21/'Assumptions data'!$AA20</f>
        <v>1.8038617093794238</v>
      </c>
      <c r="AZ19" s="240">
        <f>'Supply calc &gt;&gt;&gt;'!W19*'Farms proportions'!$AL20</f>
        <v>163967.72459966328</v>
      </c>
      <c r="BA19" s="118">
        <f>AZ19/'National data'!$T21/'Assumptions data'!$AA20</f>
        <v>0.80971715851685577</v>
      </c>
      <c r="BB19" s="118">
        <f>AY19*'National data'!$V20+BA19*'National data'!$X20</f>
        <v>1085.5184278015699</v>
      </c>
      <c r="BC19" s="78">
        <f>'Supply calc &gt;&gt;&gt;'!Y19*'Farms proportions'!AK20</f>
        <v>10150849.595441744</v>
      </c>
      <c r="BD19" s="234">
        <f>BC19/'National data'!$S21/'Assumptions data'!$AA20</f>
        <v>193.34951610365226</v>
      </c>
      <c r="BE19" s="118">
        <f>'Supply calc &gt;&gt;&gt;'!Y19*'Farms proportions'!AL20</f>
        <v>17575116.785902902</v>
      </c>
      <c r="BF19" s="234">
        <f>BE19/'National data'!$T21/'Assumptions data'!$AA20</f>
        <v>86.790700177298291</v>
      </c>
      <c r="BG19" s="235">
        <f>BD19*'National data'!$V20+BF19*'National data'!$X20</f>
        <v>116352.85656639206</v>
      </c>
      <c r="BH19" s="118">
        <f>'Supply calc &gt;&gt;&gt;'!F19*'National data'!Z21/1000000</f>
        <v>35281.046029572586</v>
      </c>
      <c r="BI19" s="192">
        <f>'Supply calc &gt;&gt;&gt;'!F19*Multipliers!E19</f>
        <v>4572577589.0987663</v>
      </c>
      <c r="BJ19" s="247">
        <f>'Supply calc &gt;&gt;&gt;'!H19*'National data'!$Z21/1000000</f>
        <v>12452.695586881302</v>
      </c>
      <c r="BK19" s="229">
        <f>'Supply calc &gt;&gt;&gt;'!H19*Multipliers!$E19</f>
        <v>1613923711.8058987</v>
      </c>
      <c r="BL19" s="247">
        <f>'Supply calc &gt;&gt;&gt;'!J19*'National data'!$Z21/1000000</f>
        <v>5879.9846093167553</v>
      </c>
      <c r="BM19" s="229">
        <f>'Supply calc &gt;&gt;&gt;'!J19*Multipliers!$E19</f>
        <v>762071675.15019345</v>
      </c>
      <c r="BN19" s="247">
        <f>'Supply calc &gt;&gt;&gt;'!L19*'National data'!$Z21/1000000</f>
        <v>16939.166036246817</v>
      </c>
      <c r="BO19" s="229">
        <f>'Supply calc &gt;&gt;&gt;'!L19*Multipliers!$E19</f>
        <v>2195389868.2720976</v>
      </c>
      <c r="BP19" s="247">
        <f>'Supply calc &gt;&gt;&gt;'!N19*'National data'!$Z21/1000000</f>
        <v>411.5502069553267</v>
      </c>
      <c r="BQ19" s="229">
        <f>'Supply calc &gt;&gt;&gt;'!N19*Multipliers!$E19</f>
        <v>53338703.493528008</v>
      </c>
      <c r="BR19" s="118">
        <f>'Supply calc &gt;&gt;&gt;'!P19*'National data'!Z21/1000000</f>
        <v>6784.4454144074471</v>
      </c>
      <c r="BS19" s="192">
        <f>'Supply calc &gt;&gt;&gt;'!P19*Multipliers!E19</f>
        <v>879293744.02279317</v>
      </c>
      <c r="BT19" s="118">
        <f>'Supply calc &gt;&gt;&gt;'!R19*'National data'!$Z21/1000000</f>
        <v>4968.1357446748161</v>
      </c>
      <c r="BU19" s="192">
        <f>'Supply calc &gt;&gt;&gt;'!R19*Multipliers!$E19</f>
        <v>643892081.50628579</v>
      </c>
      <c r="BV19" s="118">
        <f>'Supply calc &gt;&gt;&gt;'!T19*'National data'!$Z21/1000000</f>
        <v>1307.8640147313208</v>
      </c>
      <c r="BW19" s="240">
        <f>'Supply calc &gt;&gt;&gt;'!T19*Multipliers!$E19</f>
        <v>169504885.94744265</v>
      </c>
      <c r="BX19" s="78">
        <f>'Supply calc &gt;&gt;&gt;'!V19*'National data'!$Z21/1000000</f>
        <v>910.77628760809546</v>
      </c>
      <c r="BY19" s="192">
        <f>'Supply calc &gt;&gt;&gt;'!V19*Multipliers!$E19</f>
        <v>118040582.97785683</v>
      </c>
      <c r="BZ19" s="118">
        <f>'Supply calc &gt;&gt;&gt;'!X19*'National data'!$Z21/1000000</f>
        <v>47.532821028490915</v>
      </c>
      <c r="CA19" s="192">
        <f>'Supply calc &gt;&gt;&gt;'!X19*Multipliers!$E19</f>
        <v>6160461.1155615784</v>
      </c>
      <c r="CB19" s="234">
        <f>'Supply calc &gt;&gt;&gt;'!Z19*'National data'!$Z21/1000000</f>
        <v>5094.8739014267248</v>
      </c>
      <c r="CC19" s="229">
        <f>'Supply calc &gt;&gt;&gt;'!Z19*Multipliers!$E19</f>
        <v>660317899.91205847</v>
      </c>
    </row>
    <row r="20" spans="1:81">
      <c r="A20" s="9">
        <v>19</v>
      </c>
      <c r="B20" s="1" t="s">
        <v>403</v>
      </c>
      <c r="C20" s="1" t="s">
        <v>404</v>
      </c>
      <c r="D20" s="1">
        <v>0</v>
      </c>
      <c r="E20" s="191">
        <f>'Supply calc &gt;&gt;&gt;'!E20*'Farms proportions'!AK21</f>
        <v>10956018.301307894</v>
      </c>
      <c r="F20" s="118">
        <f>E20/'National data'!$S22/'Assumptions data'!$AA21</f>
        <v>208.68606288205513</v>
      </c>
      <c r="G20" s="240">
        <f>'Supply calc &gt;&gt;&gt;'!E20*'Farms proportions'!AL21</f>
        <v>16720650.378861791</v>
      </c>
      <c r="H20" s="118">
        <f>G20/'National data'!$T22/'Assumptions data'!$AA21</f>
        <v>82.57111298203354</v>
      </c>
      <c r="I20" s="118">
        <f>F20*'National data'!V22+H20*'National data'!X21</f>
        <v>116410.21984891445</v>
      </c>
      <c r="J20" s="242">
        <f>'Supply calc &gt;&gt;&gt;'!G20*'Farms proportions'!$AK21</f>
        <v>1764606.0018217643</v>
      </c>
      <c r="K20" s="234">
        <f>J20/'National data'!$S22/'Assumptions data'!$AA21</f>
        <v>33.611542891843129</v>
      </c>
      <c r="L20" s="230">
        <f>'Supply calc &gt;&gt;&gt;'!G20*'Farms proportions'!$AL21</f>
        <v>2693073.2681763247</v>
      </c>
      <c r="M20" s="118">
        <f>L20/'National data'!$T22/'Assumptions data'!$AA21</f>
        <v>13.299127250253456</v>
      </c>
      <c r="N20" s="118">
        <f>K20*'National data'!$V22+M20*'National data'!$X21</f>
        <v>18749.345516725116</v>
      </c>
      <c r="O20" s="242">
        <f>'Supply calc &gt;&gt;&gt;'!I20*'Farms proportions'!$AK21</f>
        <v>1655368.0679231957</v>
      </c>
      <c r="P20" s="234">
        <f>O20/'National data'!$S22/'Assumptions data'!$AA21</f>
        <v>31.530820341394204</v>
      </c>
      <c r="Q20" s="230">
        <f>'Supply calc &gt;&gt;&gt;'!I20*'Farms proportions'!$AL21</f>
        <v>2526358.5684930338</v>
      </c>
      <c r="R20" s="118">
        <f>Q20/'National data'!$T22/'Assumptions data'!$AA21</f>
        <v>12.47584478268165</v>
      </c>
      <c r="S20" s="118">
        <f>P20*'National data'!$V22+R20*'National data'!$X21</f>
        <v>17588.667289357101</v>
      </c>
      <c r="T20" s="242">
        <f>'Supply calc &gt;&gt;&gt;'!K20*'Farms proportions'!$AK21</f>
        <v>4843375.6214962136</v>
      </c>
      <c r="U20" s="234">
        <f>T20/'National data'!$S22/'Assumptions data'!$AA21</f>
        <v>92.254773742785034</v>
      </c>
      <c r="V20" s="230">
        <f>'Supply calc &gt;&gt;&gt;'!K20*'Farms proportions'!$AL21</f>
        <v>7391772.1012635557</v>
      </c>
      <c r="W20" s="118">
        <f>V20/'National data'!$T22/'Assumptions data'!$AA21</f>
        <v>36.502578277844719</v>
      </c>
      <c r="X20" s="118">
        <f>U20*'National data'!$V22+W20*'National data'!$X21</f>
        <v>51461.982392083082</v>
      </c>
      <c r="Y20" s="242">
        <f>'Supply calc &gt;&gt;&gt;'!M20*'Farms proportions'!$AK21</f>
        <v>20910.187570971586</v>
      </c>
      <c r="Z20" s="234">
        <f>Y20/'National data'!$S22/'Assumptions data'!$AA21</f>
        <v>0.39828928706612549</v>
      </c>
      <c r="AA20" s="230">
        <f>'Supply calc &gt;&gt;&gt;'!M20*'Farms proportions'!$AL21</f>
        <v>31912.317606196331</v>
      </c>
      <c r="AB20" s="118">
        <f>AA20/'National data'!$T22/'Assumptions data'!$AA21</f>
        <v>0.15759169188245101</v>
      </c>
      <c r="AC20" s="118">
        <f>Z20*'National data'!$V22+AB20*'National data'!$X21</f>
        <v>222.17556280717952</v>
      </c>
      <c r="AD20" s="191">
        <f>'Supply calc &gt;&gt;&gt;'!O20*'Farms proportions'!AK21</f>
        <v>2958616.4443424796</v>
      </c>
      <c r="AE20" s="118">
        <f>AD20/'National data'!$S22/'Assumptions data'!$AA21</f>
        <v>56.354598939856757</v>
      </c>
      <c r="AF20" s="240">
        <f>'Supply calc &gt;&gt;&gt;'!O20*'Farms proportions'!AL21</f>
        <v>4515325.7151000053</v>
      </c>
      <c r="AG20" s="118">
        <f>AF20/'National data'!$T22/'Assumptions data'!$AA21</f>
        <v>22.297904765925953</v>
      </c>
      <c r="AH20" s="178">
        <f>AE20*'National data'!V21+AG20*'National data'!X21</f>
        <v>31435.98169176175</v>
      </c>
      <c r="AI20" s="191">
        <f>'Supply calc &gt;&gt;&gt;'!Q20*'Farms proportions'!$AK21</f>
        <v>2341883.4464844526</v>
      </c>
      <c r="AJ20" s="118">
        <f>AI20/'National data'!$S22/'Assumptions data'!$AA21</f>
        <v>44.607303742561008</v>
      </c>
      <c r="AK20" s="240">
        <f>'Supply calc &gt;&gt;&gt;'!Q20*'Farms proportions'!$AL21</f>
        <v>3574091.7238186686</v>
      </c>
      <c r="AL20" s="118">
        <f>AK20/'National data'!$T22/'Assumptions data'!$AA21</f>
        <v>17.649835673178611</v>
      </c>
      <c r="AM20" s="178">
        <f>AJ20*'National data'!$V21+AL20*'National data'!$X21</f>
        <v>24883.051430577128</v>
      </c>
      <c r="AN20" s="191">
        <f>'Supply calc &gt;&gt;&gt;'!S20*'Farms proportions'!$AK21</f>
        <v>964607.03068368719</v>
      </c>
      <c r="AO20" s="118">
        <f>AN20/'National data'!$S22/'Assumptions data'!$AA21</f>
        <v>18.373467251117852</v>
      </c>
      <c r="AP20" s="240">
        <f>'Supply calc &gt;&gt;&gt;'!S20*'Farms proportions'!$AL21</f>
        <v>1472145.8534920968</v>
      </c>
      <c r="AQ20" s="118">
        <f>AP20/'National data'!$T22/'Assumptions data'!$AA21</f>
        <v>7.2698560666276393</v>
      </c>
      <c r="AR20" s="178">
        <f>AO20*'National data'!$V21+AQ20*'National data'!$X21</f>
        <v>10249.172046042655</v>
      </c>
      <c r="AS20" s="191">
        <f>'Supply calc &gt;&gt;&gt;'!U20*'Farms proportions'!$AK21</f>
        <v>645245.53803719813</v>
      </c>
      <c r="AT20" s="118">
        <f>AS20/'National data'!$S22/'Assumptions data'!$AA21</f>
        <v>12.290391200708537</v>
      </c>
      <c r="AU20" s="240">
        <f>'Supply calc &gt;&gt;&gt;'!U20*'Farms proportions'!$AL21</f>
        <v>984748.72470344533</v>
      </c>
      <c r="AV20" s="118">
        <f>AU20/'National data'!$T22/'Assumptions data'!$AA21</f>
        <v>4.8629566652021996</v>
      </c>
      <c r="AW20" s="178">
        <f>AT20*'National data'!$V21+AV20*'National data'!$X21</f>
        <v>6855.8825728206884</v>
      </c>
      <c r="AX20" s="191">
        <f>'Supply calc &gt;&gt;&gt;'!W20*'Farms proportions'!$AK21</f>
        <v>34067.907709304818</v>
      </c>
      <c r="AY20" s="118">
        <f>AX20/'National data'!$S22/'Assumptions data'!$AA21</f>
        <v>0.64891252779628228</v>
      </c>
      <c r="AZ20" s="240">
        <f>'Supply calc &gt;&gt;&gt;'!W20*'Farms proportions'!$AL21</f>
        <v>51993.119971204738</v>
      </c>
      <c r="BA20" s="118">
        <f>AZ20/'National data'!$T22/'Assumptions data'!$AA21</f>
        <v>0.25675614800594931</v>
      </c>
      <c r="BB20" s="118">
        <f>AY20*'National data'!$V21+BA20*'National data'!$X21</f>
        <v>361.97937217385538</v>
      </c>
      <c r="BC20" s="78">
        <f>'Supply calc &gt;&gt;&gt;'!Y20*'Farms proportions'!AK21</f>
        <v>2089276.2414662419</v>
      </c>
      <c r="BD20" s="234">
        <f>BC20/'National data'!$S22/'Assumptions data'!$AA21</f>
        <v>39.795737932690322</v>
      </c>
      <c r="BE20" s="118">
        <f>'Supply calc &gt;&gt;&gt;'!Y20*'Farms proportions'!AL21</f>
        <v>3188572.400819113</v>
      </c>
      <c r="BF20" s="234">
        <f>BE20/'National data'!$T22/'Assumptions data'!$AA21</f>
        <v>15.746036547254878</v>
      </c>
      <c r="BG20" s="235">
        <f>BD20*'National data'!$V21+BF20*'National data'!$X21</f>
        <v>22199.041650483996</v>
      </c>
      <c r="BH20" s="118">
        <f>'Supply calc &gt;&gt;&gt;'!F20*'National data'!Z22/1000000</f>
        <v>11737.174975609794</v>
      </c>
      <c r="BI20" s="192">
        <f>'Supply calc &gt;&gt;&gt;'!F20*Multipliers!E20</f>
        <v>1521189116.8934932</v>
      </c>
      <c r="BJ20" s="247">
        <f>'Supply calc &gt;&gt;&gt;'!H20*'National data'!$Z22/1000000</f>
        <v>1890.4212129620846</v>
      </c>
      <c r="BK20" s="229">
        <f>'Supply calc &gt;&gt;&gt;'!H20*Multipliers!$E20</f>
        <v>245006842.06193456</v>
      </c>
      <c r="BL20" s="247">
        <f>'Supply calc &gt;&gt;&gt;'!J20*'National data'!$Z22/1000000</f>
        <v>1773.3946884638062</v>
      </c>
      <c r="BM20" s="229">
        <f>'Supply calc &gt;&gt;&gt;'!J20*Multipliers!$E20</f>
        <v>229839693.59353557</v>
      </c>
      <c r="BN20" s="247">
        <f>'Supply calc &gt;&gt;&gt;'!L20*'National data'!$Z22/1000000</f>
        <v>5188.7050184388272</v>
      </c>
      <c r="BO20" s="229">
        <f>'Supply calc &gt;&gt;&gt;'!L20*Multipliers!$E20</f>
        <v>672478822.30789721</v>
      </c>
      <c r="BP20" s="247">
        <f>'Supply calc &gt;&gt;&gt;'!N20*'National data'!$Z22/1000000</f>
        <v>22.401069763092348</v>
      </c>
      <c r="BQ20" s="229">
        <f>'Supply calc &gt;&gt;&gt;'!N20*Multipliers!$E20</f>
        <v>2903276.4358714502</v>
      </c>
      <c r="BR20" s="118">
        <f>'Supply calc &gt;&gt;&gt;'!P20*'National data'!Z22/1000000</f>
        <v>1645.1146143898759</v>
      </c>
      <c r="BS20" s="192">
        <f>'Supply calc &gt;&gt;&gt;'!P20*Multipliers!E20</f>
        <v>213214035.97140273</v>
      </c>
      <c r="BT20" s="118">
        <f>'Supply calc &gt;&gt;&gt;'!R20*'National data'!$Z22/1000000</f>
        <v>1302.1852462073759</v>
      </c>
      <c r="BU20" s="192">
        <f>'Supply calc &gt;&gt;&gt;'!R20*Multipliers!$E20</f>
        <v>168768892.75538978</v>
      </c>
      <c r="BV20" s="118">
        <f>'Supply calc &gt;&gt;&gt;'!T20*'National data'!$Z22/1000000</f>
        <v>536.36189522147606</v>
      </c>
      <c r="BW20" s="240">
        <f>'Supply calc &gt;&gt;&gt;'!T20*Multipliers!$E20</f>
        <v>69514843.173315436</v>
      </c>
      <c r="BX20" s="78">
        <f>'Supply calc &gt;&gt;&gt;'!V20*'National data'!$Z22/1000000</f>
        <v>358.78353428497923</v>
      </c>
      <c r="BY20" s="192">
        <f>'Supply calc &gt;&gt;&gt;'!V20*Multipliers!$E20</f>
        <v>46499912.356170565</v>
      </c>
      <c r="BZ20" s="118">
        <f>'Supply calc &gt;&gt;&gt;'!X20*'National data'!$Z22/1000000</f>
        <v>18.943183041328087</v>
      </c>
      <c r="CA20" s="192">
        <f>'Supply calc &gt;&gt;&gt;'!X20*Multipliers!$E20</f>
        <v>2455119.2209088244</v>
      </c>
      <c r="CB20" s="234">
        <f>'Supply calc &gt;&gt;&gt;'!Z20*'National data'!$Z22/1000000</f>
        <v>1161.7250640603143</v>
      </c>
      <c r="CC20" s="229">
        <f>'Supply calc &gt;&gt;&gt;'!Z20*Multipliers!$E20</f>
        <v>150564639.95324671</v>
      </c>
    </row>
    <row r="21" spans="1:81">
      <c r="A21" s="9">
        <v>20</v>
      </c>
      <c r="B21" s="1" t="s">
        <v>408</v>
      </c>
      <c r="C21" s="1" t="s">
        <v>409</v>
      </c>
      <c r="D21" s="1">
        <v>0</v>
      </c>
      <c r="E21" s="191">
        <f>'Supply calc &gt;&gt;&gt;'!E21*'Farms proportions'!AK22</f>
        <v>35646812.103590891</v>
      </c>
      <c r="F21" s="118">
        <f>E21/'National data'!$S23/'Assumptions data'!$AA22</f>
        <v>678.98689721125504</v>
      </c>
      <c r="G21" s="240">
        <f>'Supply calc &gt;&gt;&gt;'!E21*'Farms proportions'!AL22</f>
        <v>72183838.415354371</v>
      </c>
      <c r="H21" s="118">
        <f>G21/'National data'!$T23/'Assumptions data'!$AA22</f>
        <v>356.4633995819969</v>
      </c>
      <c r="I21" s="118">
        <f>F21*'National data'!V23+H21*'National data'!X22</f>
        <v>451284.74131052935</v>
      </c>
      <c r="J21" s="242">
        <f>'Supply calc &gt;&gt;&gt;'!G21*'Farms proportions'!$AK22</f>
        <v>7603187.4365822626</v>
      </c>
      <c r="K21" s="234">
        <f>J21/'National data'!$S23/'Assumptions data'!$AA22</f>
        <v>144.82261783966214</v>
      </c>
      <c r="L21" s="230">
        <f>'Supply calc &gt;&gt;&gt;'!G21*'Farms proportions'!$AL22</f>
        <v>15396250.631585093</v>
      </c>
      <c r="M21" s="118">
        <f>L21/'National data'!$T23/'Assumptions data'!$AA22</f>
        <v>76.030867316469596</v>
      </c>
      <c r="N21" s="118">
        <f>K21*'National data'!$V23+M21*'National data'!$X22</f>
        <v>96255.521124365841</v>
      </c>
      <c r="O21" s="242">
        <f>'Supply calc &gt;&gt;&gt;'!I21*'Farms proportions'!$AK22</f>
        <v>6566890.7071117284</v>
      </c>
      <c r="P21" s="234">
        <f>O21/'National data'!$S23/'Assumptions data'!$AA22</f>
        <v>125.08363251641387</v>
      </c>
      <c r="Q21" s="230">
        <f>'Supply calc &gt;&gt;&gt;'!I21*'Farms proportions'!$AL22</f>
        <v>13297777.549249468</v>
      </c>
      <c r="R21" s="118">
        <f>Q21/'National data'!$T23/'Assumptions data'!$AA22</f>
        <v>65.668037280244292</v>
      </c>
      <c r="S21" s="118">
        <f>P21*'National data'!$V23+R21*'National data'!$X22</f>
        <v>83136.117904773389</v>
      </c>
      <c r="T21" s="242">
        <f>'Supply calc &gt;&gt;&gt;'!K21*'Farms proportions'!$AK22</f>
        <v>22796796.421676565</v>
      </c>
      <c r="U21" s="234">
        <f>T21/'National data'!$S23/'Assumptions data'!$AA22</f>
        <v>434.22469374622034</v>
      </c>
      <c r="V21" s="230">
        <f>'Supply calc &gt;&gt;&gt;'!K21*'Farms proportions'!$AL22</f>
        <v>46162901.313810997</v>
      </c>
      <c r="W21" s="118">
        <f>V21/'National data'!$T23/'Assumptions data'!$AA22</f>
        <v>227.9649447595605</v>
      </c>
      <c r="X21" s="118">
        <f>U21*'National data'!$V23+W21*'National data'!$X22</f>
        <v>288604.9486267739</v>
      </c>
      <c r="Y21" s="242">
        <f>'Supply calc &gt;&gt;&gt;'!M21*'Farms proportions'!$AK22</f>
        <v>684373.09134778753</v>
      </c>
      <c r="Z21" s="234">
        <f>Y21/'National data'!$S23/'Assumptions data'!$AA22</f>
        <v>13.03567793043405</v>
      </c>
      <c r="AA21" s="230">
        <f>'Supply calc &gt;&gt;&gt;'!M21*'Farms proportions'!$AL22</f>
        <v>1385837.1541922218</v>
      </c>
      <c r="AB21" s="118">
        <f>AA21/'National data'!$T23/'Assumptions data'!$AA22</f>
        <v>6.8436402676159105</v>
      </c>
      <c r="AC21" s="118">
        <f>Z21*'National data'!$V23+AB21*'National data'!$X22</f>
        <v>8664.088462981008</v>
      </c>
      <c r="AD21" s="191">
        <f>'Supply calc &gt;&gt;&gt;'!O21*'Farms proportions'!AK22</f>
        <v>6839780.0997819221</v>
      </c>
      <c r="AE21" s="118">
        <f>AD21/'National data'!$S23/'Assumptions data'!$AA22</f>
        <v>130.28152571013186</v>
      </c>
      <c r="AF21" s="240">
        <f>'Supply calc &gt;&gt;&gt;'!O21*'Farms proportions'!AL22</f>
        <v>13850371.250153936</v>
      </c>
      <c r="AG21" s="118">
        <f>AF21/'National data'!$T23/'Assumptions data'!$AA22</f>
        <v>68.396895062488582</v>
      </c>
      <c r="AH21" s="178">
        <f>AE21*'National data'!V22+AG21*'National data'!X22</f>
        <v>86590.867760656023</v>
      </c>
      <c r="AI21" s="191">
        <f>'Supply calc &gt;&gt;&gt;'!Q21*'Farms proportions'!$AK22</f>
        <v>6053481.6173488749</v>
      </c>
      <c r="AJ21" s="118">
        <f>AI21/'National data'!$S23/'Assumptions data'!$AA22</f>
        <v>115.30441175902619</v>
      </c>
      <c r="AK21" s="240">
        <f>'Supply calc &gt;&gt;&gt;'!Q21*'Farms proportions'!$AL22</f>
        <v>12258137.912787201</v>
      </c>
      <c r="AL21" s="118">
        <f>AK21/'National data'!$T23/'Assumptions data'!$AA22</f>
        <v>60.534014384134323</v>
      </c>
      <c r="AM21" s="178">
        <f>AJ21*'National data'!$V22+AL21*'National data'!$X22</f>
        <v>76636.414997629996</v>
      </c>
      <c r="AN21" s="191">
        <f>'Supply calc &gt;&gt;&gt;'!S21*'Farms proportions'!$AK22</f>
        <v>1731809.3187309583</v>
      </c>
      <c r="AO21" s="118">
        <f>AN21/'National data'!$S23/'Assumptions data'!$AA22</f>
        <v>32.986844166303968</v>
      </c>
      <c r="AP21" s="240">
        <f>'Supply calc &gt;&gt;&gt;'!S21*'Farms proportions'!$AL22</f>
        <v>3506867.4210249404</v>
      </c>
      <c r="AQ21" s="118">
        <f>AP21/'National data'!$T23/'Assumptions data'!$AA22</f>
        <v>17.317863807530571</v>
      </c>
      <c r="AR21" s="178">
        <f>AO21*'National data'!$V22+AQ21*'National data'!$X22</f>
        <v>21924.516507436467</v>
      </c>
      <c r="AS21" s="191">
        <f>'Supply calc &gt;&gt;&gt;'!U21*'Farms proportions'!$AK22</f>
        <v>1558271.0634085848</v>
      </c>
      <c r="AT21" s="118">
        <f>AS21/'National data'!$S23/'Assumptions data'!$AA22</f>
        <v>29.681353588734947</v>
      </c>
      <c r="AU21" s="240">
        <f>'Supply calc &gt;&gt;&gt;'!U21*'Farms proportions'!$AL22</f>
        <v>3155457.1085215444</v>
      </c>
      <c r="AV21" s="118">
        <f>AU21/'National data'!$T23/'Assumptions data'!$AA22</f>
        <v>15.582504239612565</v>
      </c>
      <c r="AW21" s="178">
        <f>AT21*'National data'!$V22+AV21*'National data'!$X22</f>
        <v>19727.541180917753</v>
      </c>
      <c r="AX21" s="191">
        <f>'Supply calc &gt;&gt;&gt;'!W21*'Farms proportions'!$AK22</f>
        <v>98176.463119351785</v>
      </c>
      <c r="AY21" s="118">
        <f>AX21/'National data'!$S23/'Assumptions data'!$AA22</f>
        <v>1.870027868940034</v>
      </c>
      <c r="AZ21" s="240">
        <f>'Supply calc &gt;&gt;&gt;'!W21*'Farms proportions'!$AL22</f>
        <v>198804.70459473151</v>
      </c>
      <c r="BA21" s="118">
        <f>AZ21/'National data'!$T23/'Assumptions data'!$AA22</f>
        <v>0.98175162762830381</v>
      </c>
      <c r="BB21" s="118">
        <f>AY21*'National data'!$V22+BA21*'National data'!$X22</f>
        <v>1242.9032821461269</v>
      </c>
      <c r="BC21" s="78">
        <f>'Supply calc &gt;&gt;&gt;'!Y21*'Farms proportions'!AK22</f>
        <v>8134263.0285908449</v>
      </c>
      <c r="BD21" s="234">
        <f>BC21/'National data'!$S23/'Assumptions data'!$AA22</f>
        <v>154.93834340173038</v>
      </c>
      <c r="BE21" s="118">
        <f>'Supply calc &gt;&gt;&gt;'!Y21*'Farms proportions'!AL22</f>
        <v>16471664.46125612</v>
      </c>
      <c r="BF21" s="234">
        <f>BE21/'National data'!$T23/'Assumptions data'!$AA22</f>
        <v>81.341552895091951</v>
      </c>
      <c r="BG21" s="235">
        <f>BD21*'National data'!$V22+BF21*'National data'!$X22</f>
        <v>102978.88001714568</v>
      </c>
      <c r="BH21" s="118">
        <f>'Supply calc &gt;&gt;&gt;'!F21*'National data'!Z23/1000000</f>
        <v>39591.107333789674</v>
      </c>
      <c r="BI21" s="192">
        <f>'Supply calc &gt;&gt;&gt;'!F21*Multipliers!E21</f>
        <v>5941366721.3054085</v>
      </c>
      <c r="BJ21" s="247">
        <f>'Supply calc &gt;&gt;&gt;'!H21*'National data'!$Z23/1000000</f>
        <v>8444.4748945818446</v>
      </c>
      <c r="BK21" s="229">
        <f>'Supply calc &gt;&gt;&gt;'!H21*Multipliers!$E21</f>
        <v>1267247255.6671255</v>
      </c>
      <c r="BL21" s="247">
        <f>'Supply calc &gt;&gt;&gt;'!J21*'National data'!$Z23/1000000</f>
        <v>7293.5126450854823</v>
      </c>
      <c r="BM21" s="229">
        <f>'Supply calc &gt;&gt;&gt;'!J21*Multipliers!$E21</f>
        <v>1094524407.8573031</v>
      </c>
      <c r="BN21" s="247">
        <f>'Supply calc &gt;&gt;&gt;'!L21*'National data'!$Z23/1000000</f>
        <v>25319.246258944724</v>
      </c>
      <c r="BO21" s="229">
        <f>'Supply calc &gt;&gt;&gt;'!L21*Multipliers!$E21</f>
        <v>3799614036.1308594</v>
      </c>
      <c r="BP21" s="247">
        <f>'Supply calc &gt;&gt;&gt;'!N21*'National data'!$Z23/1000000</f>
        <v>760.09850297884748</v>
      </c>
      <c r="BQ21" s="229">
        <f>'Supply calc &gt;&gt;&gt;'!N21*Multipliers!$E21</f>
        <v>114066623.9122418</v>
      </c>
      <c r="BR21" s="118">
        <f>'Supply calc &gt;&gt;&gt;'!P21*'National data'!Z23/1000000</f>
        <v>3746.5277223130147</v>
      </c>
      <c r="BS21" s="192">
        <f>'Supply calc &gt;&gt;&gt;'!P21*Multipliers!E21</f>
        <v>562234719.58312631</v>
      </c>
      <c r="BT21" s="118">
        <f>'Supply calc &gt;&gt;&gt;'!R21*'National data'!$Z23/1000000</f>
        <v>3315.8283402463317</v>
      </c>
      <c r="BU21" s="192">
        <f>'Supply calc &gt;&gt;&gt;'!R21*Multipliers!$E21</f>
        <v>497600433.05197346</v>
      </c>
      <c r="BV21" s="118">
        <f>'Supply calc &gt;&gt;&gt;'!T21*'National data'!$Z23/1000000</f>
        <v>948.60821952337596</v>
      </c>
      <c r="BW21" s="240">
        <f>'Supply calc &gt;&gt;&gt;'!T21*Multipliers!$E21</f>
        <v>142355940.17404008</v>
      </c>
      <c r="BX21" s="78">
        <f>'Supply calc &gt;&gt;&gt;'!V21*'National data'!$Z23/1000000</f>
        <v>853.55167165748264</v>
      </c>
      <c r="BY21" s="192">
        <f>'Supply calc &gt;&gt;&gt;'!V21*Multipliers!$E21</f>
        <v>128090973.91858539</v>
      </c>
      <c r="BZ21" s="118">
        <f>'Supply calc &gt;&gt;&gt;'!X21*'National data'!$Z23/1000000</f>
        <v>53.776705594236901</v>
      </c>
      <c r="CA21" s="192">
        <f>'Supply calc &gt;&gt;&gt;'!X21*Multipliers!$E21</f>
        <v>8070174.1000901219</v>
      </c>
      <c r="CB21" s="234">
        <f>'Supply calc &gt;&gt;&gt;'!Z21*'National data'!$Z23/1000000</f>
        <v>4455.5879710479403</v>
      </c>
      <c r="CC21" s="229">
        <f>'Supply calc &gt;&gt;&gt;'!Z21*Multipliers!$E21</f>
        <v>668642123.89532542</v>
      </c>
    </row>
    <row r="22" spans="1:81">
      <c r="A22" s="9">
        <v>21</v>
      </c>
      <c r="B22" s="1" t="s">
        <v>413</v>
      </c>
      <c r="C22" s="1" t="s">
        <v>414</v>
      </c>
      <c r="D22" s="1">
        <v>1</v>
      </c>
      <c r="E22" s="191">
        <f>'Supply calc &gt;&gt;&gt;'!E22*'Farms proportions'!AK23</f>
        <v>29857585.723719772</v>
      </c>
      <c r="F22" s="118">
        <f>E22/'National data'!$S24/'Assumptions data'!$AA23</f>
        <v>568.71591854704332</v>
      </c>
      <c r="G22" s="240">
        <f>'Supply calc &gt;&gt;&gt;'!E22*'Farms proportions'!AL23</f>
        <v>54265268.595457472</v>
      </c>
      <c r="H22" s="118">
        <f>G22/'National data'!$T24/'Assumptions data'!$AA23</f>
        <v>267.97663503929618</v>
      </c>
      <c r="I22" s="118">
        <f>F22*'National data'!V24+H22*'National data'!X23</f>
        <v>352722.07772682566</v>
      </c>
      <c r="J22" s="242">
        <f>'Supply calc &gt;&gt;&gt;'!G22*'Farms proportions'!$AK23</f>
        <v>11576416.641591961</v>
      </c>
      <c r="K22" s="234">
        <f>J22/'National data'!$S24/'Assumptions data'!$AA23</f>
        <v>220.50317412556117</v>
      </c>
      <c r="L22" s="230">
        <f>'Supply calc &gt;&gt;&gt;'!G22*'Farms proportions'!$AL23</f>
        <v>21039790.833786417</v>
      </c>
      <c r="M22" s="118">
        <f>L22/'National data'!$T24/'Assumptions data'!$AA23</f>
        <v>103.90020164832798</v>
      </c>
      <c r="N22" s="118">
        <f>K22*'National data'!$V24+M22*'National data'!$X23</f>
        <v>136757.79978452355</v>
      </c>
      <c r="O22" s="242">
        <f>'Supply calc &gt;&gt;&gt;'!I22*'Farms proportions'!$AK23</f>
        <v>6848189.5827848017</v>
      </c>
      <c r="P22" s="234">
        <f>O22/'National data'!$S24/'Assumptions data'!$AA23</f>
        <v>130.44170633875814</v>
      </c>
      <c r="Q22" s="230">
        <f>'Supply calc &gt;&gt;&gt;'!I22*'Farms proportions'!$AL23</f>
        <v>12446379.641713824</v>
      </c>
      <c r="R22" s="118">
        <f>Q22/'National data'!$T24/'Assumptions data'!$AA23</f>
        <v>61.463603168957157</v>
      </c>
      <c r="S22" s="118">
        <f>P22*'National data'!$V24+R22*'National data'!$X23</f>
        <v>80900.970381811741</v>
      </c>
      <c r="T22" s="242">
        <f>'Supply calc &gt;&gt;&gt;'!K22*'Farms proportions'!$AK23</f>
        <v>21818289.091001246</v>
      </c>
      <c r="U22" s="234">
        <f>T22/'National data'!$S24/'Assumptions data'!$AA23</f>
        <v>415.58645887621418</v>
      </c>
      <c r="V22" s="230">
        <f>'Supply calc &gt;&gt;&gt;'!K22*'Farms proportions'!$AL23</f>
        <v>39654087.533136889</v>
      </c>
      <c r="W22" s="118">
        <f>V22/'National data'!$T24/'Assumptions data'!$AA23</f>
        <v>195.82265448462661</v>
      </c>
      <c r="X22" s="118">
        <f>U22*'National data'!$V24+W22*'National data'!$X23</f>
        <v>257749.98460470705</v>
      </c>
      <c r="Y22" s="242">
        <f>'Supply calc &gt;&gt;&gt;'!M22*'Farms proportions'!$AK23</f>
        <v>148381.92252713168</v>
      </c>
      <c r="Z22" s="234">
        <f>Y22/'National data'!$S24/'Assumptions data'!$AA23</f>
        <v>2.8263223338501273</v>
      </c>
      <c r="AA22" s="230">
        <f>'Supply calc &gt;&gt;&gt;'!M22*'Farms proportions'!$AL23</f>
        <v>269679.70401734195</v>
      </c>
      <c r="AB22" s="118">
        <f>AA22/'National data'!$T24/'Assumptions data'!$AA23</f>
        <v>1.3317516247769974</v>
      </c>
      <c r="AC22" s="118">
        <f>Z22*'National data'!$V24+AB22*'National data'!$X23</f>
        <v>1752.9073011851792</v>
      </c>
      <c r="AD22" s="191">
        <f>'Supply calc &gt;&gt;&gt;'!O22*'Farms proportions'!AK23</f>
        <v>5658202.9661604986</v>
      </c>
      <c r="AE22" s="118">
        <f>AD22/'National data'!$S24/'Assumptions data'!$AA23</f>
        <v>107.77529459353332</v>
      </c>
      <c r="AF22" s="240">
        <f>'Supply calc &gt;&gt;&gt;'!O22*'Farms proportions'!AL23</f>
        <v>10283614.575119134</v>
      </c>
      <c r="AG22" s="118">
        <f>AF22/'National data'!$T24/'Assumptions data'!$AA23</f>
        <v>50.783281852440169</v>
      </c>
      <c r="AH22" s="178">
        <f>AE22*'National data'!V23+AG22*'National data'!X23</f>
        <v>66843.083861221778</v>
      </c>
      <c r="AI22" s="191">
        <f>'Supply calc &gt;&gt;&gt;'!Q22*'Farms proportions'!$AK23</f>
        <v>5509067.9489072235</v>
      </c>
      <c r="AJ22" s="118">
        <f>AI22/'National data'!$S24/'Assumptions data'!$AA23</f>
        <v>104.93462759823284</v>
      </c>
      <c r="AK22" s="240">
        <f>'Supply calc &gt;&gt;&gt;'!Q22*'Farms proportions'!$AL23</f>
        <v>10012566.143972607</v>
      </c>
      <c r="AL22" s="118">
        <f>AK22/'National data'!$T24/'Assumptions data'!$AA23</f>
        <v>49.444771081346211</v>
      </c>
      <c r="AM22" s="178">
        <f>AJ22*'National data'!$V23+AL22*'National data'!$X23</f>
        <v>65081.279888383753</v>
      </c>
      <c r="AN22" s="191">
        <f>'Supply calc &gt;&gt;&gt;'!S22*'Farms proportions'!$AK23</f>
        <v>1090746.7680311811</v>
      </c>
      <c r="AO22" s="118">
        <f>AN22/'National data'!$S24/'Assumptions data'!$AA23</f>
        <v>20.776128914879642</v>
      </c>
      <c r="AP22" s="240">
        <f>'Supply calc &gt;&gt;&gt;'!S22*'Farms proportions'!$AL23</f>
        <v>1982399.6114266238</v>
      </c>
      <c r="AQ22" s="118">
        <f>AP22/'National data'!$T24/'Assumptions data'!$AA23</f>
        <v>9.7896277107487588</v>
      </c>
      <c r="AR22" s="178">
        <f>AO22*'National data'!$V23+AQ22*'National data'!$X23</f>
        <v>12885.518268415672</v>
      </c>
      <c r="AS22" s="191">
        <f>'Supply calc &gt;&gt;&gt;'!U22*'Farms proportions'!$AK23</f>
        <v>1586490.8172704235</v>
      </c>
      <c r="AT22" s="118">
        <f>AS22/'National data'!$S24/'Assumptions data'!$AA23</f>
        <v>30.21887270991283</v>
      </c>
      <c r="AU22" s="240">
        <f>'Supply calc &gt;&gt;&gt;'!U22*'Farms proportions'!$AL23</f>
        <v>2883399.5862904876</v>
      </c>
      <c r="AV22" s="118">
        <f>AU22/'National data'!$T24/'Assumptions data'!$AA23</f>
        <v>14.239010302669074</v>
      </c>
      <c r="AW22" s="178">
        <f>AT22*'National data'!$V23+AV22*'National data'!$X23</f>
        <v>18741.982105994517</v>
      </c>
      <c r="AX22" s="191">
        <f>'Supply calc &gt;&gt;&gt;'!W22*'Farms proportions'!$AK23</f>
        <v>21938.391370808451</v>
      </c>
      <c r="AY22" s="118">
        <f>AX22/'National data'!$S24/'Assumptions data'!$AA23</f>
        <v>0.41787412134873242</v>
      </c>
      <c r="AZ22" s="240">
        <f>'Supply calc &gt;&gt;&gt;'!W22*'Farms proportions'!$AL23</f>
        <v>39872.369832749857</v>
      </c>
      <c r="BA22" s="118">
        <f>AZ22/'National data'!$T24/'Assumptions data'!$AA23</f>
        <v>0.19690059176666597</v>
      </c>
      <c r="BB22" s="118">
        <f>AY22*'National data'!$V23+BA22*'National data'!$X23</f>
        <v>259.1688108308233</v>
      </c>
      <c r="BC22" s="78">
        <f>'Supply calc &gt;&gt;&gt;'!Y22*'Farms proportions'!AK23</f>
        <v>6329531.3481304981</v>
      </c>
      <c r="BD22" s="234">
        <f>BC22/'National data'!$S24/'Assumptions data'!$AA23</f>
        <v>120.56250186915234</v>
      </c>
      <c r="BE22" s="118">
        <f>'Supply calc &gt;&gt;&gt;'!Y22*'Farms proportions'!AL23</f>
        <v>11503733.82054141</v>
      </c>
      <c r="BF22" s="234">
        <f>BE22/'National data'!$T24/'Assumptions data'!$AA23</f>
        <v>56.808562076747712</v>
      </c>
      <c r="BG22" s="235">
        <f>BD22*'National data'!$V23+BF22*'National data'!$X23</f>
        <v>74773.8102071678</v>
      </c>
      <c r="BH22" s="118">
        <f>'Supply calc &gt;&gt;&gt;'!F22*'National data'!Z24/1000000</f>
        <v>43420.566652721747</v>
      </c>
      <c r="BI22" s="192">
        <f>'Supply calc &gt;&gt;&gt;'!F22*Multipliers!E22</f>
        <v>5627494995.9189167</v>
      </c>
      <c r="BJ22" s="247">
        <f>'Supply calc &gt;&gt;&gt;'!H22*'National data'!$Z24/1000000</f>
        <v>16835.07082712977</v>
      </c>
      <c r="BK22" s="229">
        <f>'Supply calc &gt;&gt;&gt;'!H22*Multipliers!$E22</f>
        <v>2181898674.7303247</v>
      </c>
      <c r="BL22" s="247">
        <f>'Supply calc &gt;&gt;&gt;'!J22*'National data'!$Z24/1000000</f>
        <v>9959.019291822935</v>
      </c>
      <c r="BM22" s="229">
        <f>'Supply calc &gt;&gt;&gt;'!J22*Multipliers!$E22</f>
        <v>1290732377.5213897</v>
      </c>
      <c r="BN22" s="247">
        <f>'Supply calc &gt;&gt;&gt;'!L22*'National data'!$Z24/1000000</f>
        <v>31729.373047451649</v>
      </c>
      <c r="BO22" s="229">
        <f>'Supply calc &gt;&gt;&gt;'!L22*Multipliers!$E22</f>
        <v>4112265265.3586717</v>
      </c>
      <c r="BP22" s="247">
        <f>'Supply calc &gt;&gt;&gt;'!N22*'National data'!$Z24/1000000</f>
        <v>215.78526866724991</v>
      </c>
      <c r="BQ22" s="229">
        <f>'Supply calc &gt;&gt;&gt;'!N22*Multipliers!$E22</f>
        <v>27966712.855919156</v>
      </c>
      <c r="BR22" s="118">
        <f>'Supply calc &gt;&gt;&gt;'!P22*'National data'!Z24/1000000</f>
        <v>4058.1601353328197</v>
      </c>
      <c r="BS22" s="192">
        <f>'Supply calc &gt;&gt;&gt;'!P22*Multipliers!E22</f>
        <v>525955269.92717302</v>
      </c>
      <c r="BT22" s="118">
        <f>'Supply calc &gt;&gt;&gt;'!R22*'National data'!$Z24/1000000</f>
        <v>3951.1979451429365</v>
      </c>
      <c r="BU22" s="192">
        <f>'Supply calc &gt;&gt;&gt;'!R22*Multipliers!$E22</f>
        <v>512092503.12220871</v>
      </c>
      <c r="BV22" s="118">
        <f>'Supply calc &gt;&gt;&gt;'!T22*'National data'!$Z24/1000000</f>
        <v>782.30227481056647</v>
      </c>
      <c r="BW22" s="240">
        <f>'Supply calc &gt;&gt;&gt;'!T22*Multipliers!$E22</f>
        <v>101389790.05048269</v>
      </c>
      <c r="BX22" s="78">
        <f>'Supply calc &gt;&gt;&gt;'!V22*'National data'!$Z24/1000000</f>
        <v>1137.8584027867114</v>
      </c>
      <c r="BY22" s="192">
        <f>'Supply calc &gt;&gt;&gt;'!V22*Multipliers!$E22</f>
        <v>147471416.45939645</v>
      </c>
      <c r="BZ22" s="118">
        <f>'Supply calc &gt;&gt;&gt;'!X22*'National data'!$Z24/1000000</f>
        <v>15.734590262455246</v>
      </c>
      <c r="CA22" s="192">
        <f>'Supply calc &gt;&gt;&gt;'!X22*Multipliers!$E22</f>
        <v>2039271.589267733</v>
      </c>
      <c r="CB22" s="234">
        <f>'Supply calc &gt;&gt;&gt;'!Z22*'National data'!$Z24/1000000</f>
        <v>4539.6483558370064</v>
      </c>
      <c r="CC22" s="229">
        <f>'Supply calc &gt;&gt;&gt;'!Z22*Multipliers!$E22</f>
        <v>588358245.29947555</v>
      </c>
    </row>
    <row r="23" spans="1:81">
      <c r="A23" s="9">
        <v>22</v>
      </c>
      <c r="B23" s="1" t="s">
        <v>418</v>
      </c>
      <c r="C23" s="1" t="s">
        <v>419</v>
      </c>
      <c r="D23" s="1">
        <v>1</v>
      </c>
      <c r="E23" s="191">
        <f>'Supply calc &gt;&gt;&gt;'!E23*'Farms proportions'!AK24</f>
        <v>30386638.190373842</v>
      </c>
      <c r="F23" s="118">
        <f>E23/'National data'!$S25/'Assumptions data'!$AA24</f>
        <v>578.79310838807316</v>
      </c>
      <c r="G23" s="240">
        <f>'Supply calc &gt;&gt;&gt;'!E23*'Farms proportions'!AL24</f>
        <v>91007846.278173864</v>
      </c>
      <c r="H23" s="118">
        <f>G23/'National data'!$T25/'Assumptions data'!$AA24</f>
        <v>449.42146310209318</v>
      </c>
      <c r="I23" s="118">
        <f>F23*'National data'!V25+H23*'National data'!X24</f>
        <v>504923.33655997389</v>
      </c>
      <c r="J23" s="242">
        <f>'Supply calc &gt;&gt;&gt;'!G23*'Farms proportions'!$AK24</f>
        <v>8660963.0437865518</v>
      </c>
      <c r="K23" s="234">
        <f>J23/'National data'!$S25/'Assumptions data'!$AA24</f>
        <v>164.97072464355338</v>
      </c>
      <c r="L23" s="230">
        <f>'Supply calc &gt;&gt;&gt;'!G23*'Farms proportions'!$AL24</f>
        <v>25939545.808643274</v>
      </c>
      <c r="M23" s="118">
        <f>L23/'National data'!$T25/'Assumptions data'!$AA24</f>
        <v>128.09652251181865</v>
      </c>
      <c r="N23" s="118">
        <f>K23*'National data'!$V25+M23*'National data'!$X24</f>
        <v>143915.96498742304</v>
      </c>
      <c r="O23" s="242">
        <f>'Supply calc &gt;&gt;&gt;'!I23*'Farms proportions'!$AK24</f>
        <v>6789881.627080569</v>
      </c>
      <c r="P23" s="234">
        <f>O23/'National data'!$S25/'Assumptions data'!$AA24</f>
        <v>129.33107861105847</v>
      </c>
      <c r="Q23" s="230">
        <f>'Supply calc &gt;&gt;&gt;'!I23*'Farms proportions'!$AL24</f>
        <v>20335665.284621704</v>
      </c>
      <c r="R23" s="118">
        <f>Q23/'National data'!$T25/'Assumptions data'!$AA24</f>
        <v>100.42303844257631</v>
      </c>
      <c r="S23" s="118">
        <f>P23*'National data'!$V25+R23*'National data'!$X24</f>
        <v>112824.90891272255</v>
      </c>
      <c r="T23" s="242">
        <f>'Supply calc &gt;&gt;&gt;'!K23*'Farms proportions'!$AK24</f>
        <v>17445776.755072281</v>
      </c>
      <c r="U23" s="234">
        <f>T23/'National data'!$S25/'Assumptions data'!$AA24</f>
        <v>332.30050962042441</v>
      </c>
      <c r="V23" s="230">
        <f>'Supply calc &gt;&gt;&gt;'!K23*'Farms proportions'!$AL24</f>
        <v>52250023.815794267</v>
      </c>
      <c r="W23" s="118">
        <f>V23/'National data'!$T25/'Assumptions data'!$AA24</f>
        <v>258.0248089668853</v>
      </c>
      <c r="X23" s="118">
        <f>U23*'National data'!$V25+W23*'National data'!$X24</f>
        <v>289889.90992896532</v>
      </c>
      <c r="Y23" s="242">
        <f>'Supply calc &gt;&gt;&gt;'!M23*'Farms proportions'!$AK24</f>
        <v>137784.91496904951</v>
      </c>
      <c r="Z23" s="234">
        <f>Y23/'National data'!$S25/'Assumptions data'!$AA24</f>
        <v>2.6244745708390385</v>
      </c>
      <c r="AA23" s="230">
        <f>'Supply calc &gt;&gt;&gt;'!M23*'Farms proportions'!$AL24</f>
        <v>412665.20772695733</v>
      </c>
      <c r="AB23" s="118">
        <f>AA23/'National data'!$T25/'Assumptions data'!$AA24</f>
        <v>2.0378528776639868</v>
      </c>
      <c r="AC23" s="118">
        <f>Z23*'National data'!$V25+AB23*'National data'!$X24</f>
        <v>2289.520102814271</v>
      </c>
      <c r="AD23" s="191">
        <f>'Supply calc &gt;&gt;&gt;'!O23*'Farms proportions'!AK24</f>
        <v>9102863.43299908</v>
      </c>
      <c r="AE23" s="118">
        <f>AD23/'National data'!$S25/'Assumptions data'!$AA24</f>
        <v>173.3878749142682</v>
      </c>
      <c r="AF23" s="240">
        <f>'Supply calc &gt;&gt;&gt;'!O23*'Farms proportions'!AL24</f>
        <v>27263035.509601999</v>
      </c>
      <c r="AG23" s="118">
        <f>AF23/'National data'!$T25/'Assumptions data'!$AA24</f>
        <v>134.63227412149135</v>
      </c>
      <c r="AH23" s="178">
        <f>AE23*'National data'!V24+AG23*'National data'!X24</f>
        <v>151258.85752954779</v>
      </c>
      <c r="AI23" s="191">
        <f>'Supply calc &gt;&gt;&gt;'!Q23*'Farms proportions'!$AK24</f>
        <v>6798285.9017637372</v>
      </c>
      <c r="AJ23" s="118">
        <f>AI23/'National data'!$S25/'Assumptions data'!$AA24</f>
        <v>129.49116003359501</v>
      </c>
      <c r="AK23" s="240">
        <f>'Supply calc &gt;&gt;&gt;'!Q23*'Farms proportions'!$AL24</f>
        <v>20360836.04993156</v>
      </c>
      <c r="AL23" s="118">
        <f>AK23/'National data'!$T25/'Assumptions data'!$AA24</f>
        <v>100.54733851818055</v>
      </c>
      <c r="AM23" s="178">
        <f>AJ23*'National data'!$V24+AL23*'National data'!$X24</f>
        <v>112964.55958377759</v>
      </c>
      <c r="AN23" s="191">
        <f>'Supply calc &gt;&gt;&gt;'!S23*'Farms proportions'!$AK24</f>
        <v>2170694.8529440067</v>
      </c>
      <c r="AO23" s="118">
        <f>AN23/'National data'!$S25/'Assumptions data'!$AA24</f>
        <v>41.346568627504887</v>
      </c>
      <c r="AP23" s="240">
        <f>'Supply calc &gt;&gt;&gt;'!S23*'Farms proportions'!$AL24</f>
        <v>6501221.4334435053</v>
      </c>
      <c r="AQ23" s="118">
        <f>AP23/'National data'!$T25/'Assumptions data'!$AA24</f>
        <v>32.104797202190156</v>
      </c>
      <c r="AR23" s="178">
        <f>AO23*'National data'!$V24+AQ23*'National data'!$X24</f>
        <v>36069.619841962696</v>
      </c>
      <c r="AS23" s="191">
        <f>'Supply calc &gt;&gt;&gt;'!U23*'Farms proportions'!$AK24</f>
        <v>2223177.5990057504</v>
      </c>
      <c r="AT23" s="118">
        <f>AS23/'National data'!$S25/'Assumptions data'!$AA24</f>
        <v>42.346239981061913</v>
      </c>
      <c r="AU23" s="240">
        <f>'Supply calc &gt;&gt;&gt;'!U23*'Farms proportions'!$AL24</f>
        <v>6658407.024554953</v>
      </c>
      <c r="AV23" s="118">
        <f>AU23/'National data'!$T25/'Assumptions data'!$AA24</f>
        <v>32.881022343481256</v>
      </c>
      <c r="AW23" s="178">
        <f>AT23*'National data'!$V24+AV23*'National data'!$X24</f>
        <v>36941.705891340818</v>
      </c>
      <c r="AX23" s="191">
        <f>'Supply calc &gt;&gt;&gt;'!W23*'Farms proportions'!$AK24</f>
        <v>42629.318806287134</v>
      </c>
      <c r="AY23" s="118">
        <f>AX23/'National data'!$S25/'Assumptions data'!$AA24</f>
        <v>0.81198702488165975</v>
      </c>
      <c r="AZ23" s="240">
        <f>'Supply calc &gt;&gt;&gt;'!W23*'Farms proportions'!$AL24</f>
        <v>127674.6202906665</v>
      </c>
      <c r="BA23" s="118">
        <f>AZ23/'National data'!$T25/'Assumptions data'!$AA24</f>
        <v>0.63049195205267405</v>
      </c>
      <c r="BB23" s="118">
        <f>AY23*'National data'!$V24+BA23*'National data'!$X24</f>
        <v>708.35535514317212</v>
      </c>
      <c r="BC23" s="78">
        <f>'Supply calc &gt;&gt;&gt;'!Y23*'Farms proportions'!AK24</f>
        <v>7164815.5783905759</v>
      </c>
      <c r="BD23" s="234">
        <f>BC23/'National data'!$S25/'Assumptions data'!$AA24</f>
        <v>136.47267768363002</v>
      </c>
      <c r="BE23" s="118">
        <f>'Supply calc &gt;&gt;&gt;'!Y23*'Farms proportions'!AL24</f>
        <v>21458590.801801786</v>
      </c>
      <c r="BF23" s="234">
        <f>BE23/'National data'!$T25/'Assumptions data'!$AA24</f>
        <v>105.96834963852734</v>
      </c>
      <c r="BG23" s="235">
        <f>BD23*'National data'!$V24+BF23*'National data'!$X24</f>
        <v>119055.04534634211</v>
      </c>
      <c r="BH23" s="118">
        <f>'Supply calc &gt;&gt;&gt;'!F23*'National data'!Z25/1000000</f>
        <v>83794.489625721835</v>
      </c>
      <c r="BI23" s="192">
        <f>'Supply calc &gt;&gt;&gt;'!F23*Multipliers!E23</f>
        <v>12574889302.632198</v>
      </c>
      <c r="BJ23" s="247">
        <f>'Supply calc &gt;&gt;&gt;'!H23*'National data'!$Z25/1000000</f>
        <v>23883.556100366484</v>
      </c>
      <c r="BK23" s="229">
        <f>'Supply calc &gt;&gt;&gt;'!H23*Multipliers!$E23</f>
        <v>3584162579.8640022</v>
      </c>
      <c r="BL23" s="247">
        <f>'Supply calc &gt;&gt;&gt;'!J23*'National data'!$Z25/1000000</f>
        <v>18723.84374986637</v>
      </c>
      <c r="BM23" s="229">
        <f>'Supply calc &gt;&gt;&gt;'!J23*Multipliers!$E23</f>
        <v>2809853768.7384734</v>
      </c>
      <c r="BN23" s="247">
        <f>'Supply calc &gt;&gt;&gt;'!L23*'National data'!$Z25/1000000</f>
        <v>48108.644008492673</v>
      </c>
      <c r="BO23" s="229">
        <f>'Supply calc &gt;&gt;&gt;'!L23*Multipliers!$E23</f>
        <v>7219578227.7410564</v>
      </c>
      <c r="BP23" s="247">
        <f>'Supply calc &gt;&gt;&gt;'!N23*'National data'!$Z25/1000000</f>
        <v>379.95702438753199</v>
      </c>
      <c r="BQ23" s="229">
        <f>'Supply calc &gt;&gt;&gt;'!N23*Multipliers!$E23</f>
        <v>57019471.599766061</v>
      </c>
      <c r="BR23" s="118">
        <f>'Supply calc &gt;&gt;&gt;'!P23*'National data'!Z25/1000000</f>
        <v>13329.132720905642</v>
      </c>
      <c r="BS23" s="192">
        <f>'Supply calc &gt;&gt;&gt;'!P23*Multipliers!E23</f>
        <v>2000279125.9203556</v>
      </c>
      <c r="BT23" s="118">
        <f>'Supply calc &gt;&gt;&gt;'!R23*'National data'!$Z25/1000000</f>
        <v>9954.587995990174</v>
      </c>
      <c r="BU23" s="192">
        <f>'Supply calc &gt;&gt;&gt;'!R23*Multipliers!$E23</f>
        <v>1493867229.9575977</v>
      </c>
      <c r="BV23" s="118">
        <f>'Supply calc &gt;&gt;&gt;'!T23*'National data'!$Z25/1000000</f>
        <v>3178.5031165676655</v>
      </c>
      <c r="BW23" s="240">
        <f>'Supply calc &gt;&gt;&gt;'!T23*Multipliers!$E23</f>
        <v>476992282.15885842</v>
      </c>
      <c r="BX23" s="78">
        <f>'Supply calc &gt;&gt;&gt;'!V23*'National data'!$Z25/1000000</f>
        <v>3255.3525050006078</v>
      </c>
      <c r="BY23" s="192">
        <f>'Supply calc &gt;&gt;&gt;'!V23*Multipliers!$E23</f>
        <v>488524932.53760833</v>
      </c>
      <c r="BZ23" s="118">
        <f>'Supply calc &gt;&gt;&gt;'!X23*'National data'!$Z25/1000000</f>
        <v>62.421220789818413</v>
      </c>
      <c r="CA23" s="192">
        <f>'Supply calc &gt;&gt;&gt;'!X23*Multipliers!$E23</f>
        <v>9367441.0462210458</v>
      </c>
      <c r="CB23" s="234">
        <f>'Supply calc &gt;&gt;&gt;'!Z23*'National data'!$Z25/1000000</f>
        <v>10491.2897428492</v>
      </c>
      <c r="CC23" s="229">
        <f>'Supply calc &gt;&gt;&gt;'!Z23*Multipliers!$E23</f>
        <v>1574409101.9282565</v>
      </c>
    </row>
    <row r="24" spans="1:81">
      <c r="A24" s="9">
        <v>23</v>
      </c>
      <c r="B24" s="1" t="s">
        <v>424</v>
      </c>
      <c r="C24" s="1" t="s">
        <v>425</v>
      </c>
      <c r="D24" s="1">
        <v>0</v>
      </c>
      <c r="E24" s="191">
        <f>'Supply calc &gt;&gt;&gt;'!E24*'Farms proportions'!AK25</f>
        <v>24253422.549583502</v>
      </c>
      <c r="F24" s="118">
        <f>E24/'National data'!$S26/'Assumptions data'!$AA25</f>
        <v>461.96995332540007</v>
      </c>
      <c r="G24" s="240">
        <f>'Supply calc &gt;&gt;&gt;'!E24*'Farms proportions'!AL25</f>
        <v>81878398.901759505</v>
      </c>
      <c r="H24" s="118">
        <f>G24/'National data'!$T26/'Assumptions data'!$AA25</f>
        <v>404.33777235436793</v>
      </c>
      <c r="I24" s="118">
        <f>F24*'National data'!V26+H24*'National data'!X25</f>
        <v>440698.05918287532</v>
      </c>
      <c r="J24" s="242">
        <f>'Supply calc &gt;&gt;&gt;'!G24*'Farms proportions'!$AK25</f>
        <v>6033492.1654431652</v>
      </c>
      <c r="K24" s="234">
        <f>J24/'National data'!$S26/'Assumptions data'!$AA25</f>
        <v>114.92366029415552</v>
      </c>
      <c r="L24" s="230">
        <f>'Supply calc &gt;&gt;&gt;'!G24*'Farms proportions'!$AL25</f>
        <v>20368782.067060463</v>
      </c>
      <c r="M24" s="118">
        <f>L24/'National data'!$T26/'Assumptions data'!$AA25</f>
        <v>100.58657810894056</v>
      </c>
      <c r="N24" s="118">
        <f>K24*'National data'!$V26+M24*'National data'!$X25</f>
        <v>109631.87904593482</v>
      </c>
      <c r="O24" s="242">
        <f>'Supply calc &gt;&gt;&gt;'!I24*'Farms proportions'!$AK25</f>
        <v>4478046.3288405826</v>
      </c>
      <c r="P24" s="234">
        <f>O24/'National data'!$S26/'Assumptions data'!$AA25</f>
        <v>85.296120549344437</v>
      </c>
      <c r="Q24" s="230">
        <f>'Supply calc &gt;&gt;&gt;'!I24*'Farms proportions'!$AL25</f>
        <v>15117671.036480805</v>
      </c>
      <c r="R24" s="118">
        <f>Q24/'National data'!$T26/'Assumptions data'!$AA25</f>
        <v>74.655165612250897</v>
      </c>
      <c r="S24" s="118">
        <f>P24*'National data'!$V26+R24*'National data'!$X25</f>
        <v>81368.570642617808</v>
      </c>
      <c r="T24" s="242">
        <f>'Supply calc &gt;&gt;&gt;'!K24*'Farms proportions'!$AK25</f>
        <v>16509777.011800488</v>
      </c>
      <c r="U24" s="234">
        <f>T24/'National data'!$S26/'Assumptions data'!$AA25</f>
        <v>314.47194308191411</v>
      </c>
      <c r="V24" s="230">
        <f>'Supply calc &gt;&gt;&gt;'!K24*'Farms proportions'!$AL25</f>
        <v>55736220.534965843</v>
      </c>
      <c r="W24" s="118">
        <f>V24/'National data'!$T26/'Assumptions data'!$AA25</f>
        <v>275.24059523439922</v>
      </c>
      <c r="X24" s="118">
        <f>U24*'National data'!$V26+W24*'National data'!$X25</f>
        <v>299991.75051553594</v>
      </c>
      <c r="Y24" s="242">
        <f>'Supply calc &gt;&gt;&gt;'!M24*'Farms proportions'!$AK25</f>
        <v>177917.24419587068</v>
      </c>
      <c r="Z24" s="234">
        <f>Y24/'National data'!$S26/'Assumptions data'!$AA25</f>
        <v>3.3888998894451561</v>
      </c>
      <c r="AA24" s="230">
        <f>'Supply calc &gt;&gt;&gt;'!M24*'Farms proportions'!$AL25</f>
        <v>600640.13901499531</v>
      </c>
      <c r="AB24" s="118">
        <f>AA24/'National data'!$T26/'Assumptions data'!$AA25</f>
        <v>2.9661241432839276</v>
      </c>
      <c r="AC24" s="118">
        <f>Z24*'National data'!$V26+AB24*'National data'!$X25</f>
        <v>3232.8544168143553</v>
      </c>
      <c r="AD24" s="191">
        <f>'Supply calc &gt;&gt;&gt;'!O24*'Farms proportions'!AK25</f>
        <v>4828740.4954405678</v>
      </c>
      <c r="AE24" s="118">
        <f>AD24/'National data'!$S26/'Assumptions data'!$AA25</f>
        <v>91.97600943696321</v>
      </c>
      <c r="AF24" s="240">
        <f>'Supply calc &gt;&gt;&gt;'!O24*'Farms proportions'!AL25</f>
        <v>16301597.833067575</v>
      </c>
      <c r="AG24" s="118">
        <f>AF24/'National data'!$T26/'Assumptions data'!$AA25</f>
        <v>80.501717694160874</v>
      </c>
      <c r="AH24" s="178">
        <f>AE24*'National data'!V25+AG24*'National data'!X25</f>
        <v>87740.876995315382</v>
      </c>
      <c r="AI24" s="191">
        <f>'Supply calc &gt;&gt;&gt;'!Q24*'Farms proportions'!$AK25</f>
        <v>4350942.144997838</v>
      </c>
      <c r="AJ24" s="118">
        <f>AI24/'National data'!$S26/'Assumptions data'!$AA25</f>
        <v>82.875088476149287</v>
      </c>
      <c r="AK24" s="240">
        <f>'Supply calc &gt;&gt;&gt;'!Q24*'Farms proportions'!$AL25</f>
        <v>14688573.368080288</v>
      </c>
      <c r="AL24" s="118">
        <f>AK24/'National data'!$T26/'Assumptions data'!$AA25</f>
        <v>72.536164780643404</v>
      </c>
      <c r="AM24" s="178">
        <f>AJ24*'National data'!$V25+AL24*'National data'!$X25</f>
        <v>79059.017546801944</v>
      </c>
      <c r="AN24" s="191">
        <f>'Supply calc &gt;&gt;&gt;'!S24*'Farms proportions'!$AK25</f>
        <v>962909.27874383272</v>
      </c>
      <c r="AO24" s="118">
        <f>AN24/'National data'!$S26/'Assumptions data'!$AA25</f>
        <v>18.341129118930148</v>
      </c>
      <c r="AP24" s="240">
        <f>'Supply calc &gt;&gt;&gt;'!S24*'Farms proportions'!$AL25</f>
        <v>3250735.8443951653</v>
      </c>
      <c r="AQ24" s="118">
        <f>AP24/'National data'!$T26/'Assumptions data'!$AA25</f>
        <v>16.053016515531681</v>
      </c>
      <c r="AR24" s="178">
        <f>AO24*'National data'!$V25+AQ24*'National data'!$X25</f>
        <v>17496.592468302031</v>
      </c>
      <c r="AS24" s="191">
        <f>'Supply calc &gt;&gt;&gt;'!U24*'Farms proportions'!$AK25</f>
        <v>1175126.5707855753</v>
      </c>
      <c r="AT24" s="118">
        <f>AS24/'National data'!$S26/'Assumptions data'!$AA25</f>
        <v>22.38336325305858</v>
      </c>
      <c r="AU24" s="240">
        <f>'Supply calc &gt;&gt;&gt;'!U24*'Farms proportions'!$AL25</f>
        <v>3967171.3106111856</v>
      </c>
      <c r="AV24" s="118">
        <f>AU24/'National data'!$T26/'Assumptions data'!$AA25</f>
        <v>19.590969435116968</v>
      </c>
      <c r="AW24" s="178">
        <f>AT24*'National data'!$V25+AV24*'National data'!$X25</f>
        <v>21352.697664863146</v>
      </c>
      <c r="AX24" s="191">
        <f>'Supply calc &gt;&gt;&gt;'!W24*'Farms proportions'!$AK25</f>
        <v>24925.752477710164</v>
      </c>
      <c r="AY24" s="118">
        <f>AX24/'National data'!$S26/'Assumptions data'!$AA25</f>
        <v>0.47477623767066984</v>
      </c>
      <c r="AZ24" s="240">
        <f>'Supply calc &gt;&gt;&gt;'!W24*'Farms proportions'!$AL25</f>
        <v>84148.152703978718</v>
      </c>
      <c r="BA24" s="118">
        <f>AZ24/'National data'!$T26/'Assumptions data'!$AA25</f>
        <v>0.41554643310606776</v>
      </c>
      <c r="BB24" s="118">
        <f>AY24*'National data'!$V25+BA24*'National data'!$X25</f>
        <v>452.91466464753671</v>
      </c>
      <c r="BC24" s="78">
        <f>'Supply calc &gt;&gt;&gt;'!Y24*'Farms proportions'!AK25</f>
        <v>4433104.6678804411</v>
      </c>
      <c r="BD24" s="234">
        <f>BC24/'National data'!$S26/'Assumptions data'!$AA25</f>
        <v>84.440088912008406</v>
      </c>
      <c r="BE24" s="118">
        <f>'Supply calc &gt;&gt;&gt;'!Y24*'Farms proportions'!AL25</f>
        <v>14965950.130456954</v>
      </c>
      <c r="BF24" s="234">
        <f>BE24/'National data'!$T26/'Assumptions data'!$AA25</f>
        <v>73.905926570157803</v>
      </c>
      <c r="BG24" s="235">
        <f>BD24*'National data'!$V25+BF24*'National data'!$X25</f>
        <v>80551.955885624295</v>
      </c>
      <c r="BH24" s="118">
        <f>'Supply calc &gt;&gt;&gt;'!F24*'National data'!Z26/1000000</f>
        <v>43227.30343253418</v>
      </c>
      <c r="BI24" s="192">
        <f>'Supply calc &gt;&gt;&gt;'!F24*Multipliers!E24</f>
        <v>6487044171.3216372</v>
      </c>
      <c r="BJ24" s="247">
        <f>'Supply calc &gt;&gt;&gt;'!H24*'National data'!$Z26/1000000</f>
        <v>10753.599664551601</v>
      </c>
      <c r="BK24" s="229">
        <f>'Supply calc &gt;&gt;&gt;'!H24*Multipliers!$E24</f>
        <v>1613773483.0841422</v>
      </c>
      <c r="BL24" s="247">
        <f>'Supply calc &gt;&gt;&gt;'!J24*'National data'!$Z26/1000000</f>
        <v>7981.3010739410765</v>
      </c>
      <c r="BM24" s="229">
        <f>'Supply calc &gt;&gt;&gt;'!J24*Multipliers!$E24</f>
        <v>1197739588.1766963</v>
      </c>
      <c r="BN24" s="247">
        <f>'Supply calc &gt;&gt;&gt;'!L24*'National data'!$Z26/1000000</f>
        <v>29425.667203610108</v>
      </c>
      <c r="BO24" s="229">
        <f>'Supply calc &gt;&gt;&gt;'!L24*Multipliers!$E24</f>
        <v>4415857288.3998804</v>
      </c>
      <c r="BP24" s="247">
        <f>'Supply calc &gt;&gt;&gt;'!N24*'National data'!$Z26/1000000</f>
        <v>317.1050471335335</v>
      </c>
      <c r="BQ24" s="229">
        <f>'Supply calc &gt;&gt;&gt;'!N24*Multipliers!$E24</f>
        <v>47587387.700803123</v>
      </c>
      <c r="BR24" s="118">
        <f>'Supply calc &gt;&gt;&gt;'!P24*'National data'!Z26/1000000</f>
        <v>4569.9351529470005</v>
      </c>
      <c r="BS24" s="192">
        <f>'Supply calc &gt;&gt;&gt;'!P24*Multipliers!E24</f>
        <v>685802001.1243794</v>
      </c>
      <c r="BT24" s="118">
        <f>'Supply calc &gt;&gt;&gt;'!R24*'National data'!$Z26/1000000</f>
        <v>4117.7452952045815</v>
      </c>
      <c r="BU24" s="192">
        <f>'Supply calc &gt;&gt;&gt;'!R24*Multipliers!$E24</f>
        <v>617942677.31583083</v>
      </c>
      <c r="BV24" s="118">
        <f>'Supply calc &gt;&gt;&gt;'!T24*'National data'!$Z26/1000000</f>
        <v>911.30036211001493</v>
      </c>
      <c r="BW24" s="240">
        <f>'Supply calc &gt;&gt;&gt;'!T24*Multipliers!$E24</f>
        <v>136757216.68772393</v>
      </c>
      <c r="BX24" s="78">
        <f>'Supply calc &gt;&gt;&gt;'!V24*'National data'!$Z26/1000000</f>
        <v>1112.1434730372864</v>
      </c>
      <c r="BY24" s="192">
        <f>'Supply calc &gt;&gt;&gt;'!V24*Multipliers!$E24</f>
        <v>166897383.40259415</v>
      </c>
      <c r="BZ24" s="118">
        <f>'Supply calc &gt;&gt;&gt;'!X24*'National data'!$Z26/1000000</f>
        <v>23.589810338555075</v>
      </c>
      <c r="CA24" s="192">
        <f>'Supply calc &gt;&gt;&gt;'!X24*Multipliers!$E24</f>
        <v>3540080.678364336</v>
      </c>
      <c r="CB24" s="234">
        <f>'Supply calc &gt;&gt;&gt;'!Z24*'National data'!$Z26/1000000</f>
        <v>4195.5041646096688</v>
      </c>
      <c r="CC24" s="229">
        <f>'Supply calc &gt;&gt;&gt;'!Z24*Multipliers!$E24</f>
        <v>629611811.87866795</v>
      </c>
    </row>
    <row r="25" spans="1:81">
      <c r="A25" s="9">
        <v>24</v>
      </c>
      <c r="B25" s="1" t="s">
        <v>429</v>
      </c>
      <c r="C25" s="1" t="s">
        <v>430</v>
      </c>
      <c r="D25" s="1">
        <v>0</v>
      </c>
      <c r="E25" s="191">
        <f>'Supply calc &gt;&gt;&gt;'!E25*'Farms proportions'!AK26</f>
        <v>18568510.358280495</v>
      </c>
      <c r="F25" s="118">
        <f>E25/'National data'!$S27/'Assumptions data'!$AA26</f>
        <v>353.68591158629516</v>
      </c>
      <c r="G25" s="240">
        <f>'Supply calc &gt;&gt;&gt;'!E25*'Farms proportions'!AL26</f>
        <v>41589009.316954151</v>
      </c>
      <c r="H25" s="118">
        <f>G25/'National data'!$T27/'Assumptions data'!$AA26</f>
        <v>205.3778237874279</v>
      </c>
      <c r="I25" s="118">
        <f>F25*'National data'!V27+H25*'National data'!X26</f>
        <v>251343.52802484966</v>
      </c>
      <c r="J25" s="242">
        <f>'Supply calc &gt;&gt;&gt;'!G25*'Farms proportions'!$AK26</f>
        <v>5812851.3749960838</v>
      </c>
      <c r="K25" s="234">
        <f>J25/'National data'!$S27/'Assumptions data'!$AA26</f>
        <v>110.72097857135397</v>
      </c>
      <c r="L25" s="230">
        <f>'Supply calc &gt;&gt;&gt;'!G25*'Farms proportions'!$AL26</f>
        <v>13019392.796093354</v>
      </c>
      <c r="M25" s="118">
        <f>L25/'National data'!$T27/'Assumptions data'!$AA26</f>
        <v>64.293297758485707</v>
      </c>
      <c r="N25" s="118">
        <f>K25*'National data'!$V27+M25*'National data'!$X26</f>
        <v>78682.809998491954</v>
      </c>
      <c r="O25" s="242">
        <f>'Supply calc &gt;&gt;&gt;'!I25*'Farms proportions'!$AK26</f>
        <v>3679128.6028596703</v>
      </c>
      <c r="P25" s="234">
        <f>O25/'National data'!$S27/'Assumptions data'!$AA26</f>
        <v>70.078640054469915</v>
      </c>
      <c r="Q25" s="230">
        <f>'Supply calc &gt;&gt;&gt;'!I25*'Farms proportions'!$AL26</f>
        <v>8240365.5861585606</v>
      </c>
      <c r="R25" s="118">
        <f>Q25/'National data'!$T27/'Assumptions data'!$AA26</f>
        <v>40.693163388437334</v>
      </c>
      <c r="S25" s="118">
        <f>P25*'National data'!$V27+R25*'National data'!$X26</f>
        <v>49800.718811431783</v>
      </c>
      <c r="T25" s="242">
        <f>'Supply calc &gt;&gt;&gt;'!K25*'Farms proportions'!$AK26</f>
        <v>10338421.461716658</v>
      </c>
      <c r="U25" s="234">
        <f>T25/'National data'!$S27/'Assumptions data'!$AA26</f>
        <v>196.92231355650776</v>
      </c>
      <c r="V25" s="230">
        <f>'Supply calc &gt;&gt;&gt;'!K25*'Farms proportions'!$AL26</f>
        <v>23155584.276699569</v>
      </c>
      <c r="W25" s="118">
        <f>V25/'National data'!$T27/'Assumptions data'!$AA26</f>
        <v>114.34856432938061</v>
      </c>
      <c r="X25" s="118">
        <f>U25*'National data'!$V27+W25*'National data'!$X26</f>
        <v>139940.96856762166</v>
      </c>
      <c r="Y25" s="242">
        <f>'Supply calc &gt;&gt;&gt;'!M25*'Farms proportions'!$AK26</f>
        <v>364603.78980788519</v>
      </c>
      <c r="Z25" s="234">
        <f>Y25/'National data'!$S27/'Assumptions data'!$AA26</f>
        <v>6.9448340915787661</v>
      </c>
      <c r="AA25" s="230">
        <f>'Supply calc &gt;&gt;&gt;'!M25*'Farms proportions'!$AL26</f>
        <v>816625.03446620714</v>
      </c>
      <c r="AB25" s="118">
        <f>AA25/'National data'!$T27/'Assumptions data'!$AA26</f>
        <v>4.0327162195862085</v>
      </c>
      <c r="AC25" s="118">
        <f>Z25*'National data'!$V27+AB25*'National data'!$X26</f>
        <v>4935.2802725329029</v>
      </c>
      <c r="AD25" s="191">
        <f>'Supply calc &gt;&gt;&gt;'!O25*'Farms proportions'!AK26</f>
        <v>8225356.113273751</v>
      </c>
      <c r="AE25" s="118">
        <f>AD25/'National data'!$S27/'Assumptions data'!$AA26</f>
        <v>156.67344977664288</v>
      </c>
      <c r="AF25" s="240">
        <f>'Supply calc &gt;&gt;&gt;'!O25*'Farms proportions'!AL26</f>
        <v>18422824.740901079</v>
      </c>
      <c r="AG25" s="118">
        <f>AF25/'National data'!$T27/'Assumptions data'!$AA26</f>
        <v>90.976912300746079</v>
      </c>
      <c r="AH25" s="178">
        <f>AE25*'National data'!V26+AG25*'National data'!X26</f>
        <v>111338.49645882077</v>
      </c>
      <c r="AI25" s="191">
        <f>'Supply calc &gt;&gt;&gt;'!Q25*'Farms proportions'!$AK26</f>
        <v>4113237.1419036109</v>
      </c>
      <c r="AJ25" s="118">
        <f>AI25/'National data'!$S27/'Assumptions data'!$AA26</f>
        <v>78.347374131497361</v>
      </c>
      <c r="AK25" s="240">
        <f>'Supply calc &gt;&gt;&gt;'!Q25*'Farms proportions'!$AL26</f>
        <v>9212664.5873445477</v>
      </c>
      <c r="AL25" s="118">
        <f>AK25/'National data'!$T27/'Assumptions data'!$AA26</f>
        <v>45.494639937503941</v>
      </c>
      <c r="AM25" s="178">
        <f>AJ25*'National data'!$V26+AL25*'National data'!$X26</f>
        <v>55676.816012754149</v>
      </c>
      <c r="AN25" s="191">
        <f>'Supply calc &gt;&gt;&gt;'!S25*'Farms proportions'!$AK26</f>
        <v>1606978.3477514724</v>
      </c>
      <c r="AO25" s="118">
        <f>AN25/'National data'!$S27/'Assumptions data'!$AA26</f>
        <v>30.609111385742334</v>
      </c>
      <c r="AP25" s="240">
        <f>'Supply calc &gt;&gt;&gt;'!S25*'Farms proportions'!$AL26</f>
        <v>3599246.045441445</v>
      </c>
      <c r="AQ25" s="118">
        <f>AP25/'National data'!$T27/'Assumptions data'!$AA26</f>
        <v>17.774054545389856</v>
      </c>
      <c r="AR25" s="178">
        <f>AO25*'National data'!$V26+AQ25*'National data'!$X26</f>
        <v>21752.073784598499</v>
      </c>
      <c r="AS25" s="191">
        <f>'Supply calc &gt;&gt;&gt;'!U25*'Farms proportions'!$AK26</f>
        <v>2106714.030437015</v>
      </c>
      <c r="AT25" s="118">
        <f>AS25/'National data'!$S27/'Assumptions data'!$AA26</f>
        <v>40.127886294038383</v>
      </c>
      <c r="AU25" s="240">
        <f>'Supply calc &gt;&gt;&gt;'!U25*'Farms proportions'!$AL26</f>
        <v>4718534.1069070334</v>
      </c>
      <c r="AV25" s="118">
        <f>AU25/'National data'!$T27/'Assumptions data'!$AA26</f>
        <v>23.301402997071772</v>
      </c>
      <c r="AW25" s="178">
        <f>AT25*'National data'!$V26+AV25*'National data'!$X26</f>
        <v>28516.50060950415</v>
      </c>
      <c r="AX25" s="191">
        <f>'Supply calc &gt;&gt;&gt;'!W25*'Farms proportions'!$AK26</f>
        <v>58197.765095153984</v>
      </c>
      <c r="AY25" s="118">
        <f>AX25/'National data'!$S27/'Assumptions data'!$AA26</f>
        <v>1.1085288589553142</v>
      </c>
      <c r="AZ25" s="240">
        <f>'Supply calc &gt;&gt;&gt;'!W25*'Farms proportions'!$AL26</f>
        <v>130349.03436337928</v>
      </c>
      <c r="BA25" s="118">
        <f>AZ25/'National data'!$T27/'Assumptions data'!$AA26</f>
        <v>0.64369893512779897</v>
      </c>
      <c r="BB25" s="118">
        <f>AY25*'National data'!$V26+BA25*'National data'!$X26</f>
        <v>787.76548683423948</v>
      </c>
      <c r="BC25" s="78">
        <f>'Supply calc &gt;&gt;&gt;'!Y25*'Farms proportions'!AK26</f>
        <v>6755893.752322576</v>
      </c>
      <c r="BD25" s="234">
        <f>BC25/'National data'!$S27/'Assumptions data'!$AA26</f>
        <v>128.68369052043005</v>
      </c>
      <c r="BE25" s="118">
        <f>'Supply calc &gt;&gt;&gt;'!Y25*'Farms proportions'!AL26</f>
        <v>15131581.520991478</v>
      </c>
      <c r="BF25" s="234">
        <f>BE25/'National data'!$T27/'Assumptions data'!$AA26</f>
        <v>74.723859362920891</v>
      </c>
      <c r="BG25" s="235">
        <f>BD25*'National data'!$V26+BF25*'National data'!$X26</f>
        <v>91447.840343991993</v>
      </c>
      <c r="BH25" s="118">
        <f>'Supply calc &gt;&gt;&gt;'!F25*'National data'!Z27/1000000</f>
        <v>18174.828763455829</v>
      </c>
      <c r="BI25" s="192">
        <f>'Supply calc &gt;&gt;&gt;'!F25*Multipliers!E25</f>
        <v>2355537152.1532111</v>
      </c>
      <c r="BJ25" s="247">
        <f>'Supply calc &gt;&gt;&gt;'!H25*'National data'!$Z27/1000000</f>
        <v>5689.6097925733611</v>
      </c>
      <c r="BK25" s="229">
        <f>'Supply calc &gt;&gt;&gt;'!H25*Multipliers!$E25</f>
        <v>737398267.79600179</v>
      </c>
      <c r="BL25" s="247">
        <f>'Supply calc &gt;&gt;&gt;'!J25*'National data'!$Z27/1000000</f>
        <v>3601.1252957557735</v>
      </c>
      <c r="BM25" s="229">
        <f>'Supply calc &gt;&gt;&gt;'!J25*Multipliers!$E25</f>
        <v>466721559.47721481</v>
      </c>
      <c r="BN25" s="247">
        <f>'Supply calc &gt;&gt;&gt;'!L25*'National data'!$Z27/1000000</f>
        <v>10119.23068278575</v>
      </c>
      <c r="BO25" s="229">
        <f>'Supply calc &gt;&gt;&gt;'!L25*Multipliers!$E25</f>
        <v>1311496473.2123411</v>
      </c>
      <c r="BP25" s="247">
        <f>'Supply calc &gt;&gt;&gt;'!N25*'National data'!$Z27/1000000</f>
        <v>356.87361659091113</v>
      </c>
      <c r="BQ25" s="229">
        <f>'Supply calc &gt;&gt;&gt;'!N25*Multipliers!$E25</f>
        <v>46252378.685043052</v>
      </c>
      <c r="BR25" s="118">
        <f>'Supply calc &gt;&gt;&gt;'!P25*'National data'!Z27/1000000</f>
        <v>3970.6154897621245</v>
      </c>
      <c r="BS25" s="192">
        <f>'Supply calc &gt;&gt;&gt;'!P25*Multipliers!E25</f>
        <v>514609101.67449087</v>
      </c>
      <c r="BT25" s="118">
        <f>'Supply calc &gt;&gt;&gt;'!R25*'National data'!$Z27/1000000</f>
        <v>1985.5776313868407</v>
      </c>
      <c r="BU25" s="192">
        <f>'Supply calc &gt;&gt;&gt;'!R25*Multipliers!$E25</f>
        <v>257339529.30661649</v>
      </c>
      <c r="BV25" s="118">
        <f>'Supply calc &gt;&gt;&gt;'!T25*'National data'!$Z27/1000000</f>
        <v>775.73457384993128</v>
      </c>
      <c r="BW25" s="240">
        <f>'Supply calc &gt;&gt;&gt;'!T25*Multipliers!$E25</f>
        <v>100538587.33389287</v>
      </c>
      <c r="BX25" s="78">
        <f>'Supply calc &gt;&gt;&gt;'!V25*'National data'!$Z27/1000000</f>
        <v>1016.9713318859694</v>
      </c>
      <c r="BY25" s="192">
        <f>'Supply calc &gt;&gt;&gt;'!V25*Multipliers!$E25</f>
        <v>131803924.32355674</v>
      </c>
      <c r="BZ25" s="118">
        <f>'Supply calc &gt;&gt;&gt;'!X25*'National data'!$Z27/1000000</f>
        <v>28.093731672413149</v>
      </c>
      <c r="CA25" s="192">
        <f>'Supply calc &gt;&gt;&gt;'!X25*Multipliers!$E25</f>
        <v>3641070.2713223044</v>
      </c>
      <c r="CB25" s="234">
        <f>'Supply calc &gt;&gt;&gt;'!Z25*'National data'!$Z27/1000000</f>
        <v>3261.2638298869474</v>
      </c>
      <c r="CC25" s="229">
        <f>'Supply calc &gt;&gt;&gt;'!Z25*Multipliers!$E25</f>
        <v>422674029.79435199</v>
      </c>
    </row>
    <row r="26" spans="1:81">
      <c r="A26" s="9">
        <v>25</v>
      </c>
      <c r="B26" s="1" t="s">
        <v>434</v>
      </c>
      <c r="C26" s="1" t="s">
        <v>435</v>
      </c>
      <c r="D26" s="1">
        <v>0</v>
      </c>
      <c r="E26" s="191">
        <f>'Supply calc &gt;&gt;&gt;'!E26*'Farms proportions'!AK27</f>
        <v>70107851.822194666</v>
      </c>
      <c r="F26" s="118">
        <f>E26/'National data'!$S28/'Assumptions data'!$AA27</f>
        <v>1335.3876537560891</v>
      </c>
      <c r="G26" s="240">
        <f>'Supply calc &gt;&gt;&gt;'!E26*'Farms proportions'!AL27</f>
        <v>122307300.15045102</v>
      </c>
      <c r="H26" s="118">
        <f>G26/'National data'!$T28/'Assumptions data'!$AA27</f>
        <v>603.98666740963472</v>
      </c>
      <c r="I26" s="118">
        <f>F26*'National data'!V28+H26*'National data'!X27</f>
        <v>807367.53529801487</v>
      </c>
      <c r="J26" s="242">
        <f>'Supply calc &gt;&gt;&gt;'!G26*'Farms proportions'!$AK27</f>
        <v>11816953.033404116</v>
      </c>
      <c r="K26" s="234">
        <f>J26/'National data'!$S28/'Assumptions data'!$AA27</f>
        <v>225.08481968388793</v>
      </c>
      <c r="L26" s="230">
        <f>'Supply calc &gt;&gt;&gt;'!G26*'Farms proportions'!$AL27</f>
        <v>20615374.511629071</v>
      </c>
      <c r="M26" s="118">
        <f>L26/'National data'!$T28/'Assumptions data'!$AA27</f>
        <v>101.80431857594604</v>
      </c>
      <c r="N26" s="118">
        <f>K26*'National data'!$V28+M26*'National data'!$X27</f>
        <v>136084.96049070955</v>
      </c>
      <c r="O26" s="242">
        <f>'Supply calc &gt;&gt;&gt;'!I26*'Farms proportions'!$AK27</f>
        <v>14364870.609823661</v>
      </c>
      <c r="P26" s="234">
        <f>O26/'National data'!$S28/'Assumptions data'!$AA27</f>
        <v>273.61658304426021</v>
      </c>
      <c r="Q26" s="230">
        <f>'Supply calc &gt;&gt;&gt;'!I26*'Farms proportions'!$AL27</f>
        <v>25060367.642613862</v>
      </c>
      <c r="R26" s="118">
        <f>Q26/'National data'!$T28/'Assumptions data'!$AA27</f>
        <v>123.7549019388339</v>
      </c>
      <c r="S26" s="118">
        <f>P26*'National data'!$V28+R26*'National data'!$X27</f>
        <v>165426.9796847009</v>
      </c>
      <c r="T26" s="242">
        <f>'Supply calc &gt;&gt;&gt;'!K26*'Farms proportions'!$AK27</f>
        <v>35083051.281210899</v>
      </c>
      <c r="U26" s="234">
        <f>T26/'National data'!$S28/'Assumptions data'!$AA27</f>
        <v>668.24859583258853</v>
      </c>
      <c r="V26" s="230">
        <f>'Supply calc &gt;&gt;&gt;'!K26*'Farms proportions'!$AL27</f>
        <v>61204461.008550175</v>
      </c>
      <c r="W26" s="118">
        <f>V26/'National data'!$T28/'Assumptions data'!$AA27</f>
        <v>302.24425189407492</v>
      </c>
      <c r="X26" s="118">
        <f>U26*'National data'!$V28+W26*'National data'!$X27</f>
        <v>404019.17770183383</v>
      </c>
      <c r="Y26" s="242">
        <f>'Supply calc &gt;&gt;&gt;'!M26*'Farms proportions'!$AK27</f>
        <v>1139628.0132996738</v>
      </c>
      <c r="Z26" s="234">
        <f>Y26/'National data'!$S28/'Assumptions data'!$AA27</f>
        <v>21.707200253327123</v>
      </c>
      <c r="AA26" s="230">
        <f>'Supply calc &gt;&gt;&gt;'!M26*'Farms proportions'!$AL27</f>
        <v>1988148.5719461041</v>
      </c>
      <c r="AB26" s="118">
        <f>AA26/'National data'!$T28/'Assumptions data'!$AA27</f>
        <v>9.8180176392400202</v>
      </c>
      <c r="AC26" s="118">
        <f>Z26*'National data'!$V28+AB26*'National data'!$X27</f>
        <v>13124.045828530821</v>
      </c>
      <c r="AD26" s="191">
        <f>'Supply calc &gt;&gt;&gt;'!O26*'Farms proportions'!AK27</f>
        <v>20212786.585176278</v>
      </c>
      <c r="AE26" s="118">
        <f>AD26/'National data'!$S28/'Assumptions data'!$AA27</f>
        <v>385.0054587652624</v>
      </c>
      <c r="AF26" s="240">
        <f>'Supply calc &gt;&gt;&gt;'!O26*'Farms proportions'!AL27</f>
        <v>35262403.446906462</v>
      </c>
      <c r="AG26" s="118">
        <f>AF26/'National data'!$T28/'Assumptions data'!$AA27</f>
        <v>174.13532566373561</v>
      </c>
      <c r="AH26" s="178">
        <f>AE26*'National data'!V27+AG26*'National data'!X27</f>
        <v>232772.03997302125</v>
      </c>
      <c r="AI26" s="191">
        <f>'Supply calc &gt;&gt;&gt;'!Q26*'Farms proportions'!$AK27</f>
        <v>11579253.75129501</v>
      </c>
      <c r="AJ26" s="118">
        <f>AI26/'National data'!$S28/'Assumptions data'!$AA27</f>
        <v>220.55721431038114</v>
      </c>
      <c r="AK26" s="240">
        <f>'Supply calc &gt;&gt;&gt;'!Q26*'Farms proportions'!$AL27</f>
        <v>20200694.034523632</v>
      </c>
      <c r="AL26" s="118">
        <f>AK26/'National data'!$T28/'Assumptions data'!$AA27</f>
        <v>99.756513750733987</v>
      </c>
      <c r="AM26" s="178">
        <f>AJ26*'National data'!$V27+AL26*'National data'!$X27</f>
        <v>133347.59686380433</v>
      </c>
      <c r="AN26" s="191">
        <f>'Supply calc &gt;&gt;&gt;'!S26*'Farms proportions'!$AK27</f>
        <v>4789084.6765122022</v>
      </c>
      <c r="AO26" s="118">
        <f>AN26/'National data'!$S28/'Assumptions data'!$AA27</f>
        <v>91.220660504994328</v>
      </c>
      <c r="AP26" s="240">
        <f>'Supply calc &gt;&gt;&gt;'!S26*'Farms proportions'!$AL27</f>
        <v>8354841.8864928139</v>
      </c>
      <c r="AQ26" s="118">
        <f>AP26/'National data'!$T28/'Assumptions data'!$AA27</f>
        <v>41.258478451816366</v>
      </c>
      <c r="AR26" s="178">
        <f>AO26*'National data'!$V27+AQ26*'National data'!$X27</f>
        <v>55151.475777854008</v>
      </c>
      <c r="AS26" s="191">
        <f>'Supply calc &gt;&gt;&gt;'!U26*'Farms proportions'!$AK27</f>
        <v>4097830.6794221299</v>
      </c>
      <c r="AT26" s="118">
        <f>AS26/'National data'!$S28/'Assumptions data'!$AA27</f>
        <v>78.053917703278671</v>
      </c>
      <c r="AU26" s="240">
        <f>'Supply calc &gt;&gt;&gt;'!U26*'Farms proportions'!$AL27</f>
        <v>7148908.3440314652</v>
      </c>
      <c r="AV26" s="118">
        <f>AU26/'National data'!$T28/'Assumptions data'!$AA27</f>
        <v>35.303251081636866</v>
      </c>
      <c r="AW26" s="178">
        <f>AT26*'National data'!$V27+AV26*'National data'!$X27</f>
        <v>47190.940382889428</v>
      </c>
      <c r="AX26" s="191">
        <f>'Supply calc &gt;&gt;&gt;'!W26*'Farms proportions'!$AK27</f>
        <v>244059.93344333852</v>
      </c>
      <c r="AY26" s="118">
        <f>AX26/'National data'!$S28/'Assumptions data'!$AA27</f>
        <v>4.6487606370159718</v>
      </c>
      <c r="AZ26" s="240">
        <f>'Supply calc &gt;&gt;&gt;'!W26*'Farms proportions'!$AL27</f>
        <v>425777.01011377329</v>
      </c>
      <c r="BA26" s="118">
        <f>AZ26/'National data'!$T28/'Assumptions data'!$AA27</f>
        <v>2.1026025190803619</v>
      </c>
      <c r="BB26" s="118">
        <f>AY26*'National data'!$V27+BA26*'National data'!$X27</f>
        <v>2810.6133879110685</v>
      </c>
      <c r="BC26" s="78">
        <f>'Supply calc &gt;&gt;&gt;'!Y26*'Farms proportions'!AK27</f>
        <v>17771200.471856073</v>
      </c>
      <c r="BD26" s="234">
        <f>BC26/'National data'!$S28/'Assumptions data'!$AA27</f>
        <v>338.49905660678235</v>
      </c>
      <c r="BE26" s="118">
        <f>'Supply calc &gt;&gt;&gt;'!Y26*'Farms proportions'!AL27</f>
        <v>31002911.851551529</v>
      </c>
      <c r="BF26" s="234">
        <f>BE26/'National data'!$T28/'Assumptions data'!$AA27</f>
        <v>153.10079926692114</v>
      </c>
      <c r="BG26" s="235">
        <f>BD26*'National data'!$V27+BF26*'National data'!$X27</f>
        <v>204654.54227064358</v>
      </c>
      <c r="BH26" s="118">
        <f>'Supply calc &gt;&gt;&gt;'!F26*'National data'!Z28/1000000</f>
        <v>44565.562286549444</v>
      </c>
      <c r="BI26" s="192">
        <f>'Supply calc &gt;&gt;&gt;'!F26*Multipliers!E26</f>
        <v>6383880000.1196346</v>
      </c>
      <c r="BJ26" s="247">
        <f>'Supply calc &gt;&gt;&gt;'!H26*'National data'!$Z28/1000000</f>
        <v>7511.7000843645983</v>
      </c>
      <c r="BK26" s="229">
        <f>'Supply calc &gt;&gt;&gt;'!H26*Multipliers!$E26</f>
        <v>1076027979.3428142</v>
      </c>
      <c r="BL26" s="247">
        <f>'Supply calc &gt;&gt;&gt;'!J26*'National data'!$Z28/1000000</f>
        <v>9131.338634136453</v>
      </c>
      <c r="BM26" s="229">
        <f>'Supply calc &gt;&gt;&gt;'!J26*Multipliers!$E26</f>
        <v>1308036229.9922614</v>
      </c>
      <c r="BN26" s="247">
        <f>'Supply calc &gt;&gt;&gt;'!L26*'National data'!$Z28/1000000</f>
        <v>22301.295310549554</v>
      </c>
      <c r="BO26" s="229">
        <f>'Supply calc &gt;&gt;&gt;'!L26*Multipliers!$E26</f>
        <v>3194592097.6912727</v>
      </c>
      <c r="BP26" s="247">
        <f>'Supply calc &gt;&gt;&gt;'!N26*'National data'!$Z28/1000000</f>
        <v>724.42903170119325</v>
      </c>
      <c r="BQ26" s="229">
        <f>'Supply calc &gt;&gt;&gt;'!N26*Multipliers!$E26</f>
        <v>103772235.10044377</v>
      </c>
      <c r="BR26" s="118">
        <f>'Supply calc &gt;&gt;&gt;'!P26*'National data'!Z28/1000000</f>
        <v>6507.1976980712334</v>
      </c>
      <c r="BS26" s="192">
        <f>'Supply calc &gt;&gt;&gt;'!P26*Multipliers!E26</f>
        <v>932136095.90379202</v>
      </c>
      <c r="BT26" s="118">
        <f>'Supply calc &gt;&gt;&gt;'!R26*'National data'!$Z28/1000000</f>
        <v>3727.7637617303549</v>
      </c>
      <c r="BU26" s="192">
        <f>'Supply calc &gt;&gt;&gt;'!R26*Multipliers!$E26</f>
        <v>533990716.20966882</v>
      </c>
      <c r="BV26" s="118">
        <f>'Supply calc &gt;&gt;&gt;'!T26*'National data'!$Z28/1000000</f>
        <v>1541.7726126749503</v>
      </c>
      <c r="BW26" s="240">
        <f>'Supply calc &gt;&gt;&gt;'!T26*Multipliers!$E26</f>
        <v>220854194.17581147</v>
      </c>
      <c r="BX26" s="78">
        <f>'Supply calc &gt;&gt;&gt;'!V26*'National data'!$Z28/1000000</f>
        <v>1319.2339538071069</v>
      </c>
      <c r="BY26" s="192">
        <f>'Supply calc &gt;&gt;&gt;'!V26*Multipliers!$E26</f>
        <v>188976214.39255968</v>
      </c>
      <c r="BZ26" s="118">
        <f>'Supply calc &gt;&gt;&gt;'!X26*'National data'!$Z28/1000000</f>
        <v>78.571365229702209</v>
      </c>
      <c r="CA26" s="192">
        <f>'Supply calc &gt;&gt;&gt;'!X26*Multipliers!$E26</f>
        <v>11255106.888292948</v>
      </c>
      <c r="CB26" s="234">
        <f>'Supply calc &gt;&gt;&gt;'!Z26*'National data'!$Z28/1000000</f>
        <v>5721.1663673940548</v>
      </c>
      <c r="CC26" s="229">
        <f>'Supply calc &gt;&gt;&gt;'!Z26*Multipliers!$E26</f>
        <v>819539520.56804323</v>
      </c>
    </row>
    <row r="27" spans="1:81">
      <c r="A27" s="9">
        <v>26</v>
      </c>
      <c r="B27" s="1" t="s">
        <v>439</v>
      </c>
      <c r="C27" s="1" t="s">
        <v>440</v>
      </c>
      <c r="D27" s="1">
        <v>0</v>
      </c>
      <c r="E27" s="191">
        <f>'Supply calc &gt;&gt;&gt;'!E27*'Farms proportions'!AK28</f>
        <v>7304771.4413483171</v>
      </c>
      <c r="F27" s="118">
        <f>E27/'National data'!$S29/'Assumptions data'!$AA28</f>
        <v>139.13850364472987</v>
      </c>
      <c r="G27" s="240">
        <f>'Supply calc &gt;&gt;&gt;'!E27*'Farms proportions'!AL28</f>
        <v>5128152.3260402046</v>
      </c>
      <c r="H27" s="118">
        <f>G27/'National data'!$T29/'Assumptions data'!$AA28</f>
        <v>25.324209017482492</v>
      </c>
      <c r="I27" s="118">
        <f>F27*'National data'!V29+H27*'National data'!X28</f>
        <v>53058.790990373134</v>
      </c>
      <c r="J27" s="242">
        <f>'Supply calc &gt;&gt;&gt;'!G27*'Farms proportions'!$AK28</f>
        <v>1895098.6919599613</v>
      </c>
      <c r="K27" s="234">
        <f>J27/'National data'!$S29/'Assumptions data'!$AA28</f>
        <v>36.097117942094506</v>
      </c>
      <c r="L27" s="230">
        <f>'Supply calc &gt;&gt;&gt;'!G27*'Farms proportions'!$AL28</f>
        <v>1330411.8880763238</v>
      </c>
      <c r="M27" s="118">
        <f>L27/'National data'!$T29/'Assumptions data'!$AA28</f>
        <v>6.5699352497596237</v>
      </c>
      <c r="N27" s="118">
        <f>K27*'National data'!$V29+M27*'National data'!$X28</f>
        <v>13765.20076092528</v>
      </c>
      <c r="O27" s="242">
        <f>'Supply calc &gt;&gt;&gt;'!I27*'Farms proportions'!$AK28</f>
        <v>1661638.0766515695</v>
      </c>
      <c r="P27" s="234">
        <f>O27/'National data'!$S29/'Assumptions data'!$AA28</f>
        <v>31.650249079077515</v>
      </c>
      <c r="Q27" s="230">
        <f>'Supply calc &gt;&gt;&gt;'!I27*'Farms proportions'!$AL28</f>
        <v>1166516.0554626312</v>
      </c>
      <c r="R27" s="118">
        <f>Q27/'National data'!$T29/'Assumptions data'!$AA28</f>
        <v>5.7605731133957097</v>
      </c>
      <c r="S27" s="118">
        <f>P27*'National data'!$V29+R27*'National data'!$X28</f>
        <v>12069.440928931763</v>
      </c>
      <c r="T27" s="242">
        <f>'Supply calc &gt;&gt;&gt;'!K27*'Farms proportions'!$AK28</f>
        <v>3550982.501146934</v>
      </c>
      <c r="U27" s="234">
        <f>T27/'National data'!$S29/'Assumptions data'!$AA28</f>
        <v>67.637761926608263</v>
      </c>
      <c r="V27" s="230">
        <f>'Supply calc &gt;&gt;&gt;'!K27*'Farms proportions'!$AL28</f>
        <v>2492888.2880452601</v>
      </c>
      <c r="W27" s="118">
        <f>V27/'National data'!$T29/'Assumptions data'!$AA28</f>
        <v>12.310559447137088</v>
      </c>
      <c r="X27" s="118">
        <f>U27*'National data'!$V29+W27*'National data'!$X28</f>
        <v>25792.845108381742</v>
      </c>
      <c r="Y27" s="242">
        <f>'Supply calc &gt;&gt;&gt;'!M27*'Farms proportions'!$AK28</f>
        <v>208051.37726808275</v>
      </c>
      <c r="Z27" s="234">
        <f>Y27/'National data'!$S29/'Assumptions data'!$AA28</f>
        <v>3.9628833765349101</v>
      </c>
      <c r="AA27" s="230">
        <f>'Supply calc &gt;&gt;&gt;'!M27*'Farms proportions'!$AL28</f>
        <v>146057.84217065858</v>
      </c>
      <c r="AB27" s="118">
        <f>AA27/'National data'!$T29/'Assumptions data'!$AA28</f>
        <v>0.72127329466991896</v>
      </c>
      <c r="AC27" s="118">
        <f>Z27*'National data'!$V29+AB27*'National data'!$X28</f>
        <v>1511.1978013769171</v>
      </c>
      <c r="AD27" s="191">
        <f>'Supply calc &gt;&gt;&gt;'!O27*'Farms proportions'!AK28</f>
        <v>2031951.461310179</v>
      </c>
      <c r="AE27" s="118">
        <f>AD27/'National data'!$S29/'Assumptions data'!$AA28</f>
        <v>38.703837358289121</v>
      </c>
      <c r="AF27" s="240">
        <f>'Supply calc &gt;&gt;&gt;'!O27*'Farms proportions'!AL28</f>
        <v>1426486.3310761207</v>
      </c>
      <c r="AG27" s="118">
        <f>AF27/'National data'!$T29/'Assumptions data'!$AA28</f>
        <v>7.0443769435857817</v>
      </c>
      <c r="AH27" s="178">
        <f>AE27*'National data'!V28+AG27*'National data'!X28</f>
        <v>14759.241785166643</v>
      </c>
      <c r="AI27" s="191">
        <f>'Supply calc &gt;&gt;&gt;'!Q27*'Farms proportions'!$AK28</f>
        <v>1435030.0038793464</v>
      </c>
      <c r="AJ27" s="118">
        <f>AI27/'National data'!$S29/'Assumptions data'!$AA28</f>
        <v>27.333904835797075</v>
      </c>
      <c r="AK27" s="240">
        <f>'Supply calc &gt;&gt;&gt;'!Q27*'Farms proportions'!$AL28</f>
        <v>1007430.8979300546</v>
      </c>
      <c r="AL27" s="118">
        <f>AK27/'National data'!$T29/'Assumptions data'!$AA28</f>
        <v>4.9749673971854547</v>
      </c>
      <c r="AM27" s="178">
        <f>AJ27*'National data'!$V28+AL27*'National data'!$X28</f>
        <v>10423.45508714431</v>
      </c>
      <c r="AN27" s="191">
        <f>'Supply calc &gt;&gt;&gt;'!S27*'Farms proportions'!$AK28</f>
        <v>376121.7241764433</v>
      </c>
      <c r="AO27" s="118">
        <f>AN27/'National data'!$S29/'Assumptions data'!$AA28</f>
        <v>7.16422331764654</v>
      </c>
      <c r="AP27" s="240">
        <f>'Supply calc &gt;&gt;&gt;'!S27*'Farms proportions'!$AL28</f>
        <v>264047.89118955098</v>
      </c>
      <c r="AQ27" s="118">
        <f>AP27/'National data'!$T29/'Assumptions data'!$AA28</f>
        <v>1.3039402034051901</v>
      </c>
      <c r="AR27" s="178">
        <f>AO27*'National data'!$V28+AQ27*'National data'!$X28</f>
        <v>2731.9901943890382</v>
      </c>
      <c r="AS27" s="191">
        <f>'Supply calc &gt;&gt;&gt;'!U27*'Farms proportions'!$AK28</f>
        <v>365779.09264540474</v>
      </c>
      <c r="AT27" s="118">
        <f>AS27/'National data'!$S29/'Assumptions data'!$AA28</f>
        <v>6.9672208122934238</v>
      </c>
      <c r="AU27" s="240">
        <f>'Supply calc &gt;&gt;&gt;'!U27*'Farms proportions'!$AL28</f>
        <v>256787.07675214784</v>
      </c>
      <c r="AV27" s="118">
        <f>AU27/'National data'!$T29/'Assumptions data'!$AA28</f>
        <v>1.2680843296402364</v>
      </c>
      <c r="AW27" s="178">
        <f>AT27*'National data'!$V28+AV27*'National data'!$X28</f>
        <v>2656.865663922616</v>
      </c>
      <c r="AX27" s="191">
        <f>'Supply calc &gt;&gt;&gt;'!W27*'Farms proportions'!$AK28</f>
        <v>35736.932837536559</v>
      </c>
      <c r="AY27" s="118">
        <f>AX27/'National data'!$S29/'Assumptions data'!$AA28</f>
        <v>0.680703482619744</v>
      </c>
      <c r="AZ27" s="240">
        <f>'Supply calc &gt;&gt;&gt;'!W27*'Farms proportions'!$AL28</f>
        <v>25088.318878670987</v>
      </c>
      <c r="BA27" s="118">
        <f>AZ27/'National data'!$T29/'Assumptions data'!$AA28</f>
        <v>0.12389293273417773</v>
      </c>
      <c r="BB27" s="118">
        <f>AY27*'National data'!$V28+BA27*'National data'!$X28</f>
        <v>259.57806692359168</v>
      </c>
      <c r="BC27" s="78">
        <f>'Supply calc &gt;&gt;&gt;'!Y27*'Farms proportions'!AK28</f>
        <v>1506757.1794694688</v>
      </c>
      <c r="BD27" s="234">
        <f>BC27/'National data'!$S29/'Assumptions data'!$AA28</f>
        <v>28.700136751799405</v>
      </c>
      <c r="BE27" s="118">
        <f>'Supply calc &gt;&gt;&gt;'!Y27*'Farms proportions'!AL28</f>
        <v>1057785.3662794279</v>
      </c>
      <c r="BF27" s="234">
        <f>BE27/'National data'!$T29/'Assumptions data'!$AA28</f>
        <v>5.2236314384169278</v>
      </c>
      <c r="BG27" s="235">
        <f>BD27*'National data'!$V28+BF27*'National data'!$X28</f>
        <v>10944.451157798045</v>
      </c>
      <c r="BH27" s="118">
        <f>'Supply calc &gt;&gt;&gt;'!F27*'National data'!Z29/1000000</f>
        <v>8541.1990931802338</v>
      </c>
      <c r="BI27" s="192">
        <f>'Supply calc &gt;&gt;&gt;'!F27*Multipliers!E27</f>
        <v>1106976690.1120358</v>
      </c>
      <c r="BJ27" s="247">
        <f>'Supply calc &gt;&gt;&gt;'!H27*'National data'!$Z29/1000000</f>
        <v>2215.8688138595303</v>
      </c>
      <c r="BK27" s="229">
        <f>'Supply calc &gt;&gt;&gt;'!H27*Multipliers!$E27</f>
        <v>287186271.91903871</v>
      </c>
      <c r="BL27" s="247">
        <f>'Supply calc &gt;&gt;&gt;'!J27*'National data'!$Z29/1000000</f>
        <v>1942.8919504797673</v>
      </c>
      <c r="BM27" s="229">
        <f>'Supply calc &gt;&gt;&gt;'!J27*Multipliers!$E27</f>
        <v>251807278.711566</v>
      </c>
      <c r="BN27" s="247">
        <f>'Supply calc &gt;&gt;&gt;'!L27*'National data'!$Z29/1000000</f>
        <v>4152.0325122036693</v>
      </c>
      <c r="BO27" s="229">
        <f>'Supply calc &gt;&gt;&gt;'!L27*Multipliers!$E27</f>
        <v>538121539.78083014</v>
      </c>
      <c r="BP27" s="247">
        <f>'Supply calc &gt;&gt;&gt;'!N27*'National data'!$Z29/1000000</f>
        <v>243.26678105195398</v>
      </c>
      <c r="BQ27" s="229">
        <f>'Supply calc &gt;&gt;&gt;'!N27*Multipliers!$E27</f>
        <v>31528436.834837142</v>
      </c>
      <c r="BR27" s="118">
        <f>'Supply calc &gt;&gt;&gt;'!P27*'National data'!Z29/1000000</f>
        <v>1233.1678864945263</v>
      </c>
      <c r="BS27" s="192">
        <f>'Supply calc &gt;&gt;&gt;'!P27*Multipliers!E27</f>
        <v>159823941.63298774</v>
      </c>
      <c r="BT27" s="118">
        <f>'Supply calc &gt;&gt;&gt;'!R27*'National data'!$Z29/1000000</f>
        <v>870.90314440832492</v>
      </c>
      <c r="BU27" s="192">
        <f>'Supply calc &gt;&gt;&gt;'!R27*Multipliers!$E27</f>
        <v>112872849.54814579</v>
      </c>
      <c r="BV27" s="118">
        <f>'Supply calc &gt;&gt;&gt;'!T27*'National data'!$Z29/1000000</f>
        <v>228.26393272616616</v>
      </c>
      <c r="BW27" s="240">
        <f>'Supply calc &gt;&gt;&gt;'!T27*Multipliers!$E27</f>
        <v>29584002.195069283</v>
      </c>
      <c r="BX27" s="78">
        <f>'Supply calc &gt;&gt;&gt;'!V27*'National data'!$Z29/1000000</f>
        <v>221.98710903781944</v>
      </c>
      <c r="BY27" s="192">
        <f>'Supply calc &gt;&gt;&gt;'!V27*Multipliers!$E27</f>
        <v>28770498.442827895</v>
      </c>
      <c r="BZ27" s="118">
        <f>'Supply calc &gt;&gt;&gt;'!X27*'National data'!$Z29/1000000</f>
        <v>21.68833201785548</v>
      </c>
      <c r="CA27" s="192">
        <f>'Supply calc &gt;&gt;&gt;'!X27*Multipliers!$E27</f>
        <v>2810902.5125460718</v>
      </c>
      <c r="CB27" s="234">
        <f>'Supply calc &gt;&gt;&gt;'!Z27*'National data'!$Z29/1000000</f>
        <v>914.43353930745332</v>
      </c>
      <c r="CC27" s="229">
        <f>'Supply calc &gt;&gt;&gt;'!Z27*Multipliers!$E27</f>
        <v>118514578.76426747</v>
      </c>
    </row>
    <row r="28" spans="1:81">
      <c r="A28" s="9">
        <v>27</v>
      </c>
      <c r="B28" s="1" t="s">
        <v>444</v>
      </c>
      <c r="C28" s="1" t="s">
        <v>445</v>
      </c>
      <c r="D28" s="1">
        <v>0</v>
      </c>
      <c r="E28" s="191">
        <f>'Supply calc &gt;&gt;&gt;'!E28*'Farms proportions'!AK29</f>
        <v>895072.71413079696</v>
      </c>
      <c r="F28" s="118">
        <f>E28/'National data'!$S30/'Assumptions data'!$AA29</f>
        <v>17.049004078681847</v>
      </c>
      <c r="G28" s="240">
        <f>'Supply calc &gt;&gt;&gt;'!E28*'Farms proportions'!AL29</f>
        <v>10042028.570305618</v>
      </c>
      <c r="H28" s="118">
        <f>G28/'National data'!$T30/'Assumptions data'!$AA29</f>
        <v>49.590264544719098</v>
      </c>
      <c r="I28" s="118">
        <f>F28*'National data'!V30+H28*'National data'!X29</f>
        <v>44899.878456113482</v>
      </c>
      <c r="J28" s="242">
        <f>'Supply calc &gt;&gt;&gt;'!G28*'Farms proportions'!$AK29</f>
        <v>222508.30824469513</v>
      </c>
      <c r="K28" s="234">
        <f>J28/'National data'!$S30/'Assumptions data'!$AA29</f>
        <v>4.2382534903751461</v>
      </c>
      <c r="L28" s="230">
        <f>'Supply calc &gt;&gt;&gt;'!G28*'Farms proportions'!$AL29</f>
        <v>2496372.3653373257</v>
      </c>
      <c r="M28" s="118">
        <f>L28/'National data'!$T30/'Assumptions data'!$AA29</f>
        <v>12.327764767097905</v>
      </c>
      <c r="N28" s="118">
        <f>K28*'National data'!$V30+M28*'National data'!$X29</f>
        <v>11161.770253899527</v>
      </c>
      <c r="O28" s="242">
        <f>'Supply calc &gt;&gt;&gt;'!I28*'Farms proportions'!$AK29</f>
        <v>205391.38000066957</v>
      </c>
      <c r="P28" s="234">
        <f>O28/'National data'!$S30/'Assumptions data'!$AA29</f>
        <v>3.9122167619175152</v>
      </c>
      <c r="Q28" s="230">
        <f>'Supply calc &gt;&gt;&gt;'!I28*'Farms proportions'!$AL29</f>
        <v>2304333.5736853015</v>
      </c>
      <c r="R28" s="118">
        <f>Q28/'National data'!$T30/'Assumptions data'!$AA29</f>
        <v>11.379425055236057</v>
      </c>
      <c r="S28" s="118">
        <f>P28*'National data'!$V30+R28*'National data'!$X29</f>
        <v>10303.127167627928</v>
      </c>
      <c r="T28" s="242">
        <f>'Supply calc &gt;&gt;&gt;'!K28*'Farms proportions'!$AK29</f>
        <v>540768.23305256979</v>
      </c>
      <c r="U28" s="234">
        <f>T28/'National data'!$S30/'Assumptions data'!$AA29</f>
        <v>10.300347296239424</v>
      </c>
      <c r="V28" s="230">
        <f>'Supply calc &gt;&gt;&gt;'!K28*'Farms proportions'!$AL29</f>
        <v>6067004.345564317</v>
      </c>
      <c r="W28" s="118">
        <f>V28/'National data'!$T30/'Assumptions data'!$AA29</f>
        <v>29.960515286737369</v>
      </c>
      <c r="X28" s="118">
        <f>U28*'National data'!$V30+W28*'National data'!$X29</f>
        <v>27126.765852276374</v>
      </c>
      <c r="Y28" s="242">
        <f>'Supply calc &gt;&gt;&gt;'!M28*'Farms proportions'!$AK29</f>
        <v>18629.898670305654</v>
      </c>
      <c r="Z28" s="234">
        <f>Y28/'National data'!$S30/'Assumptions data'!$AA29</f>
        <v>0.35485521276772675</v>
      </c>
      <c r="AA28" s="230">
        <f>'Supply calc &gt;&gt;&gt;'!M28*'Farms proportions'!$AL29</f>
        <v>209013.15809943207</v>
      </c>
      <c r="AB28" s="118">
        <f>AA28/'National data'!$T30/'Assumptions data'!$AA29</f>
        <v>1.032163743700899</v>
      </c>
      <c r="AC28" s="118">
        <f>Z28*'National data'!$V30+AB28*'National data'!$X29</f>
        <v>934.53880644628748</v>
      </c>
      <c r="AD28" s="191">
        <f>'Supply calc &gt;&gt;&gt;'!O28*'Farms proportions'!AK29</f>
        <v>217123.21783653798</v>
      </c>
      <c r="AE28" s="118">
        <f>AD28/'National data'!$S30/'Assumptions data'!$AA29</f>
        <v>4.1356803397435806</v>
      </c>
      <c r="AF28" s="240">
        <f>'Supply calc &gt;&gt;&gt;'!O28*'Farms proportions'!AL29</f>
        <v>2435955.7859034333</v>
      </c>
      <c r="AG28" s="118">
        <f>AF28/'National data'!$T30/'Assumptions data'!$AA29</f>
        <v>12.029411288412016</v>
      </c>
      <c r="AH28" s="178">
        <f>AE28*'National data'!V29+AG28*'National data'!X29</f>
        <v>10891.635882709092</v>
      </c>
      <c r="AI28" s="191">
        <f>'Supply calc &gt;&gt;&gt;'!Q28*'Farms proportions'!$AK29</f>
        <v>140895.00372562848</v>
      </c>
      <c r="AJ28" s="118">
        <f>AI28/'National data'!$S30/'Assumptions data'!$AA29</f>
        <v>2.6837143566786379</v>
      </c>
      <c r="AK28" s="240">
        <f>'Supply calc &gt;&gt;&gt;'!Q28*'Farms proportions'!$AL29</f>
        <v>1580733.7554693043</v>
      </c>
      <c r="AL28" s="118">
        <f>AK28/'National data'!$T30/'Assumptions data'!$AA29</f>
        <v>7.806092619601503</v>
      </c>
      <c r="AM28" s="178">
        <f>AJ28*'National data'!$V29+AL28*'National data'!$X29</f>
        <v>7067.770520183607</v>
      </c>
      <c r="AN28" s="191">
        <f>'Supply calc &gt;&gt;&gt;'!S28*'Farms proportions'!$AK29</f>
        <v>50822.748529717028</v>
      </c>
      <c r="AO28" s="118">
        <f>AN28/'National data'!$S30/'Assumptions data'!$AA29</f>
        <v>0.9680523529469911</v>
      </c>
      <c r="AP28" s="240">
        <f>'Supply calc &gt;&gt;&gt;'!S28*'Farms proportions'!$AL29</f>
        <v>570192.21421858342</v>
      </c>
      <c r="AQ28" s="118">
        <f>AP28/'National data'!$T30/'Assumptions data'!$AA29</f>
        <v>2.815764020832511</v>
      </c>
      <c r="AR28" s="178">
        <f>AO28*'National data'!$V29+AQ28*'National data'!$X29</f>
        <v>2549.4411747384092</v>
      </c>
      <c r="AS28" s="191">
        <f>'Supply calc &gt;&gt;&gt;'!U28*'Farms proportions'!$AK29</f>
        <v>66559.651312139496</v>
      </c>
      <c r="AT28" s="118">
        <f>AS28/'National data'!$S30/'Assumptions data'!$AA29</f>
        <v>1.2678028821359906</v>
      </c>
      <c r="AU28" s="240">
        <f>'Supply calc &gt;&gt;&gt;'!U28*'Farms proportions'!$AL29</f>
        <v>746748.17984498653</v>
      </c>
      <c r="AV28" s="118">
        <f>AU28/'National data'!$T30/'Assumptions data'!$AA29</f>
        <v>3.6876453325678349</v>
      </c>
      <c r="AW28" s="178">
        <f>AT28*'National data'!$V29+AV28*'National data'!$X29</f>
        <v>3338.8575104744455</v>
      </c>
      <c r="AX28" s="191">
        <f>'Supply calc &gt;&gt;&gt;'!W28*'Farms proportions'!$AK29</f>
        <v>2915.3759140740449</v>
      </c>
      <c r="AY28" s="118">
        <f>AX28/'National data'!$S30/'Assumptions data'!$AA29</f>
        <v>5.553096979188657E-2</v>
      </c>
      <c r="AZ28" s="240">
        <f>'Supply calc &gt;&gt;&gt;'!W28*'Farms proportions'!$AL29</f>
        <v>32708.279182370734</v>
      </c>
      <c r="BA28" s="118">
        <f>AZ28/'National data'!$T30/'Assumptions data'!$AA29</f>
        <v>0.16152236633269498</v>
      </c>
      <c r="BB28" s="118">
        <f>AY28*'National data'!$V29+BA28*'National data'!$X29</f>
        <v>146.24512861273186</v>
      </c>
      <c r="BC28" s="78">
        <f>'Supply calc &gt;&gt;&gt;'!Y28*'Farms proportions'!AK29</f>
        <v>277709.68951202295</v>
      </c>
      <c r="BD28" s="234">
        <f>BC28/'National data'!$S30/'Assumptions data'!$AA29</f>
        <v>5.2897083716575803</v>
      </c>
      <c r="BE28" s="118">
        <f>'Supply calc &gt;&gt;&gt;'!Y28*'Farms proportions'!AL29</f>
        <v>3115689.4767355337</v>
      </c>
      <c r="BF28" s="234">
        <f>BE28/'National data'!$T30/'Assumptions data'!$AA29</f>
        <v>15.386120872768068</v>
      </c>
      <c r="BG28" s="235">
        <f>BD28*'National data'!$V29+BF28*'National data'!$X29</f>
        <v>13930.858474759325</v>
      </c>
      <c r="BH28" s="118">
        <f>'Supply calc &gt;&gt;&gt;'!F28*'National data'!Z30/1000000</f>
        <v>11564.749755698418</v>
      </c>
      <c r="BI28" s="192">
        <f>'Supply calc &gt;&gt;&gt;'!F28*Multipliers!E28</f>
        <v>1656614903.6130068</v>
      </c>
      <c r="BJ28" s="247">
        <f>'Supply calc &gt;&gt;&gt;'!H28*'National data'!$Z30/1000000</f>
        <v>2874.9093372962279</v>
      </c>
      <c r="BK28" s="229">
        <f>'Supply calc &gt;&gt;&gt;'!H28*Multipliers!$E28</f>
        <v>411821937.81187439</v>
      </c>
      <c r="BL28" s="247">
        <f>'Supply calc &gt;&gt;&gt;'!J28*'National data'!$Z30/1000000</f>
        <v>2653.7507782168877</v>
      </c>
      <c r="BM28" s="229">
        <f>'Supply calc &gt;&gt;&gt;'!J28*Multipliers!$E28</f>
        <v>380141653.08700305</v>
      </c>
      <c r="BN28" s="247">
        <f>'Supply calc &gt;&gt;&gt;'!L28*'National data'!$Z30/1000000</f>
        <v>6986.9734518242694</v>
      </c>
      <c r="BO28" s="229">
        <f>'Supply calc &gt;&gt;&gt;'!L28*Multipliers!$E28</f>
        <v>1000862499.9202569</v>
      </c>
      <c r="BP28" s="247">
        <f>'Supply calc &gt;&gt;&gt;'!N28*'National data'!$Z30/1000000</f>
        <v>240.70683051189496</v>
      </c>
      <c r="BQ28" s="229">
        <f>'Supply calc &gt;&gt;&gt;'!N28*Multipliers!$E28</f>
        <v>34480514.602658898</v>
      </c>
      <c r="BR28" s="118">
        <f>'Supply calc &gt;&gt;&gt;'!P28*'National data'!Z30/1000000</f>
        <v>1383.5474164468687</v>
      </c>
      <c r="BS28" s="192">
        <f>'Supply calc &gt;&gt;&gt;'!P28*Multipliers!E28</f>
        <v>198188920.50057465</v>
      </c>
      <c r="BT28" s="118">
        <f>'Supply calc &gt;&gt;&gt;'!R28*'National data'!$Z30/1000000</f>
        <v>897.80779935576811</v>
      </c>
      <c r="BU28" s="192">
        <f>'Supply calc &gt;&gt;&gt;'!R28*Multipliers!$E28</f>
        <v>128608211.36747019</v>
      </c>
      <c r="BV28" s="118">
        <f>'Supply calc &gt;&gt;&gt;'!T28*'National data'!$Z30/1000000</f>
        <v>323.85151217663105</v>
      </c>
      <c r="BW28" s="240">
        <f>'Supply calc &gt;&gt;&gt;'!T28*Multipliers!$E28</f>
        <v>46390735.032123134</v>
      </c>
      <c r="BX28" s="78">
        <f>'Supply calc &gt;&gt;&gt;'!V28*'National data'!$Z30/1000000</f>
        <v>424.12983065608478</v>
      </c>
      <c r="BY28" s="192">
        <f>'Supply calc &gt;&gt;&gt;'!V28*Multipliers!$E28</f>
        <v>60755296.342276812</v>
      </c>
      <c r="BZ28" s="118">
        <f>'Supply calc &gt;&gt;&gt;'!X28*'National data'!$Z30/1000000</f>
        <v>18.577289218904514</v>
      </c>
      <c r="CA28" s="192">
        <f>'Supply calc &gt;&gt;&gt;'!X28*Multipliers!$E28</f>
        <v>2661139.6561868675</v>
      </c>
      <c r="CB28" s="234">
        <f>'Supply calc &gt;&gt;&gt;'!Z28*'National data'!$Z30/1000000</f>
        <v>1769.6150935635371</v>
      </c>
      <c r="CC28" s="229">
        <f>'Supply calc &gt;&gt;&gt;'!Z28*Multipliers!$E28</f>
        <v>253491930.1830442</v>
      </c>
    </row>
    <row r="29" spans="1:81">
      <c r="A29" s="9">
        <v>28</v>
      </c>
      <c r="B29" s="1" t="s">
        <v>449</v>
      </c>
      <c r="C29" s="1" t="s">
        <v>450</v>
      </c>
      <c r="D29" s="1">
        <v>0</v>
      </c>
      <c r="E29" s="191">
        <f>'Supply calc &gt;&gt;&gt;'!E29*'Farms proportions'!AK30</f>
        <v>2491391.9495993219</v>
      </c>
      <c r="F29" s="118">
        <f>E29/'National data'!$S31/'Assumptions data'!$AA30</f>
        <v>47.455084754272804</v>
      </c>
      <c r="G29" s="240">
        <f>'Supply calc &gt;&gt;&gt;'!E29*'Farms proportions'!AL30</f>
        <v>1988620.7103070586</v>
      </c>
      <c r="H29" s="118">
        <f>G29/'National data'!$T31/'Assumptions data'!$AA30</f>
        <v>9.8203491867015256</v>
      </c>
      <c r="I29" s="118">
        <f>F29*'National data'!V31+H29*'National data'!X30</f>
        <v>19073.733006452476</v>
      </c>
      <c r="J29" s="242">
        <f>'Supply calc &gt;&gt;&gt;'!G29*'Farms proportions'!$AK30</f>
        <v>560954.44621788524</v>
      </c>
      <c r="K29" s="234">
        <f>J29/'National data'!$S31/'Assumptions data'!$AA30</f>
        <v>10.684846594626386</v>
      </c>
      <c r="L29" s="230">
        <f>'Supply calc &gt;&gt;&gt;'!G29*'Farms proportions'!$AL30</f>
        <v>447751.96029156231</v>
      </c>
      <c r="M29" s="118">
        <f>L29/'National data'!$T31/'Assumptions data'!$AA30</f>
        <v>2.2111207915632707</v>
      </c>
      <c r="N29" s="118">
        <f>K29*'National data'!$V31+M29*'National data'!$X30</f>
        <v>4294.5853371899566</v>
      </c>
      <c r="O29" s="242">
        <f>'Supply calc &gt;&gt;&gt;'!I29*'Farms proportions'!$AK30</f>
        <v>310852.92872312275</v>
      </c>
      <c r="P29" s="234">
        <f>O29/'National data'!$S31/'Assumptions data'!$AA30</f>
        <v>5.9210081661547189</v>
      </c>
      <c r="Q29" s="230">
        <f>'Supply calc &gt;&gt;&gt;'!I29*'Farms proportions'!$AL30</f>
        <v>248121.76663644702</v>
      </c>
      <c r="R29" s="118">
        <f>Q29/'National data'!$T31/'Assumptions data'!$AA30</f>
        <v>1.2252926747478865</v>
      </c>
      <c r="S29" s="118">
        <f>P29*'National data'!$V31+R29*'National data'!$X30</f>
        <v>2379.8446357234943</v>
      </c>
      <c r="T29" s="242">
        <f>'Supply calc &gt;&gt;&gt;'!K29*'Farms proportions'!$AK30</f>
        <v>1414521.2344975972</v>
      </c>
      <c r="U29" s="234">
        <f>T29/'National data'!$S31/'Assumptions data'!$AA30</f>
        <v>26.943261609478043</v>
      </c>
      <c r="V29" s="230">
        <f>'Supply calc &gt;&gt;&gt;'!K29*'Farms proportions'!$AL30</f>
        <v>1129066.1120356519</v>
      </c>
      <c r="W29" s="118">
        <f>V29/'National data'!$T31/'Assumptions data'!$AA30</f>
        <v>5.5756351211637138</v>
      </c>
      <c r="X29" s="118">
        <f>U29*'National data'!$V31+W29*'National data'!$X30</f>
        <v>10829.368041870657</v>
      </c>
      <c r="Y29" s="242">
        <f>'Supply calc &gt;&gt;&gt;'!M29*'Farms proportions'!$AK30</f>
        <v>23634.985352326414</v>
      </c>
      <c r="Z29" s="234">
        <f>Y29/'National data'!$S31/'Assumptions data'!$AA30</f>
        <v>0.45019019718716979</v>
      </c>
      <c r="AA29" s="230">
        <f>'Supply calc &gt;&gt;&gt;'!M29*'Farms proportions'!$AL30</f>
        <v>18865.366152844483</v>
      </c>
      <c r="AB29" s="118">
        <f>AA29/'National data'!$T31/'Assumptions data'!$AA30</f>
        <v>9.3162301989355475E-2</v>
      </c>
      <c r="AC29" s="118">
        <f>Z29*'National data'!$V31+AB29*'National data'!$X30</f>
        <v>180.94599699344383</v>
      </c>
      <c r="AD29" s="191">
        <f>'Supply calc &gt;&gt;&gt;'!O29*'Farms proportions'!AK30</f>
        <v>724412.70851997554</v>
      </c>
      <c r="AE29" s="118">
        <f>AD29/'National data'!$S31/'Assumptions data'!$AA30</f>
        <v>13.798337305142393</v>
      </c>
      <c r="AF29" s="240">
        <f>'Supply calc &gt;&gt;&gt;'!O29*'Farms proportions'!AL30</f>
        <v>578223.79782680748</v>
      </c>
      <c r="AG29" s="118">
        <f>AF29/'National data'!$T31/'Assumptions data'!$AA30</f>
        <v>2.8554261621076913</v>
      </c>
      <c r="AH29" s="178">
        <f>AE29*'National data'!V30+AG29*'National data'!X30</f>
        <v>5545.9979273888457</v>
      </c>
      <c r="AI29" s="191">
        <f>'Supply calc &gt;&gt;&gt;'!Q29*'Farms proportions'!$AK30</f>
        <v>458269.42069764703</v>
      </c>
      <c r="AJ29" s="118">
        <f>AI29/'National data'!$S31/'Assumptions data'!$AA30</f>
        <v>8.7289413466218484</v>
      </c>
      <c r="AK29" s="240">
        <f>'Supply calc &gt;&gt;&gt;'!Q29*'Farms proportions'!$AL30</f>
        <v>365789.11682135076</v>
      </c>
      <c r="AL29" s="118">
        <f>AK29/'National data'!$T31/'Assumptions data'!$AA30</f>
        <v>1.806366008994325</v>
      </c>
      <c r="AM29" s="178">
        <f>AJ29*'National data'!$V30+AL29*'National data'!$X30</f>
        <v>3508.4437744989591</v>
      </c>
      <c r="AN29" s="191">
        <f>'Supply calc &gt;&gt;&gt;'!S29*'Farms proportions'!$AK30</f>
        <v>46721.873144335688</v>
      </c>
      <c r="AO29" s="118">
        <f>AN29/'National data'!$S31/'Assumptions data'!$AA30</f>
        <v>0.88994044084448931</v>
      </c>
      <c r="AP29" s="240">
        <f>'Supply calc &gt;&gt;&gt;'!S29*'Farms proportions'!$AL30</f>
        <v>37293.24266866468</v>
      </c>
      <c r="AQ29" s="118">
        <f>AP29/'National data'!$T31/'Assumptions data'!$AA30</f>
        <v>0.18416416132673916</v>
      </c>
      <c r="AR29" s="178">
        <f>AO29*'National data'!$V30+AQ29*'National data'!$X30</f>
        <v>357.69583909096355</v>
      </c>
      <c r="AS29" s="191">
        <f>'Supply calc &gt;&gt;&gt;'!U29*'Farms proportions'!$AK30</f>
        <v>104479.84577623472</v>
      </c>
      <c r="AT29" s="118">
        <f>AS29/'National data'!$S31/'Assumptions data'!$AA30</f>
        <v>1.9900923004997093</v>
      </c>
      <c r="AU29" s="240">
        <f>'Supply calc &gt;&gt;&gt;'!U29*'Farms proportions'!$AL30</f>
        <v>83395.462987557039</v>
      </c>
      <c r="AV29" s="118">
        <f>AU29/'National data'!$T31/'Assumptions data'!$AA30</f>
        <v>0.41182944685213352</v>
      </c>
      <c r="AW29" s="178">
        <f>AT29*'National data'!$V30+AV29*'National data'!$X30</f>
        <v>799.88244451529522</v>
      </c>
      <c r="AX29" s="191">
        <f>'Supply calc &gt;&gt;&gt;'!W29*'Farms proportions'!$AK30</f>
        <v>6528.8956977603766</v>
      </c>
      <c r="AY29" s="118">
        <f>AX29/'National data'!$S31/'Assumptions data'!$AA30</f>
        <v>0.12435991805257861</v>
      </c>
      <c r="AZ29" s="240">
        <f>'Supply calc &gt;&gt;&gt;'!W29*'Farms proportions'!$AL30</f>
        <v>5211.3426801788492</v>
      </c>
      <c r="BA29" s="118">
        <f>AZ29/'National data'!$T31/'Assumptions data'!$AA30</f>
        <v>2.5735025581130121E-2</v>
      </c>
      <c r="BB29" s="118">
        <f>AY29*'National data'!$V30+BA29*'National data'!$X30</f>
        <v>49.98427220015914</v>
      </c>
      <c r="BC29" s="78">
        <f>'Supply calc &gt;&gt;&gt;'!Y29*'Farms proportions'!AK30</f>
        <v>626892.45485047891</v>
      </c>
      <c r="BD29" s="234">
        <f>BC29/'National data'!$S31/'Assumptions data'!$AA30</f>
        <v>11.940808663818647</v>
      </c>
      <c r="BE29" s="118">
        <f>'Supply calc &gt;&gt;&gt;'!Y29*'Farms proportions'!AL30</f>
        <v>500383.45795063983</v>
      </c>
      <c r="BF29" s="234">
        <f>BE29/'National data'!$T31/'Assumptions data'!$AA30</f>
        <v>2.4710294219784683</v>
      </c>
      <c r="BG29" s="235">
        <f>BD29*'National data'!$V30+BF29*'National data'!$X30</f>
        <v>4799.3971038963227</v>
      </c>
      <c r="BH29" s="118">
        <f>'Supply calc &gt;&gt;&gt;'!F29*'National data'!Z31/1000000</f>
        <v>22513.05303234058</v>
      </c>
      <c r="BI29" s="192">
        <f>'Supply calc &gt;&gt;&gt;'!F29*Multipliers!E29</f>
        <v>2917789956.4425035</v>
      </c>
      <c r="BJ29" s="247">
        <f>'Supply calc &gt;&gt;&gt;'!H29*'National data'!$Z31/1000000</f>
        <v>5068.9724667616101</v>
      </c>
      <c r="BK29" s="229">
        <f>'Supply calc &gt;&gt;&gt;'!H29*Multipliers!$E29</f>
        <v>656960960.90361917</v>
      </c>
      <c r="BL29" s="247">
        <f>'Supply calc &gt;&gt;&gt;'!J29*'National data'!$Z31/1000000</f>
        <v>2808.9712944314292</v>
      </c>
      <c r="BM29" s="229">
        <f>'Supply calc &gt;&gt;&gt;'!J29*Multipliers!$E29</f>
        <v>364054942.661645</v>
      </c>
      <c r="BN29" s="247">
        <f>'Supply calc &gt;&gt;&gt;'!L29*'National data'!$Z31/1000000</f>
        <v>12782.08817072632</v>
      </c>
      <c r="BO29" s="229">
        <f>'Supply calc &gt;&gt;&gt;'!L29*Multipliers!$E29</f>
        <v>1656614428.6753075</v>
      </c>
      <c r="BP29" s="247">
        <f>'Supply calc &gt;&gt;&gt;'!N29*'National data'!$Z31/1000000</f>
        <v>213.57365256843335</v>
      </c>
      <c r="BQ29" s="229">
        <f>'Supply calc &gt;&gt;&gt;'!N29*Multipliers!$E29</f>
        <v>27680077.754435424</v>
      </c>
      <c r="BR29" s="118">
        <f>'Supply calc &gt;&gt;&gt;'!P29*'National data'!Z31/1000000</f>
        <v>3228.4068309442673</v>
      </c>
      <c r="BS29" s="192">
        <f>'Supply calc &gt;&gt;&gt;'!P29*Multipliers!E29</f>
        <v>418415619.29018468</v>
      </c>
      <c r="BT29" s="118">
        <f>'Supply calc &gt;&gt;&gt;'!R29*'National data'!$Z31/1000000</f>
        <v>2042.3166391100929</v>
      </c>
      <c r="BU29" s="192">
        <f>'Supply calc &gt;&gt;&gt;'!R29*Multipliers!$E29</f>
        <v>264693152.40853864</v>
      </c>
      <c r="BV29" s="118">
        <f>'Supply calc &gt;&gt;&gt;'!T29*'National data'!$Z31/1000000</f>
        <v>208.22000033910987</v>
      </c>
      <c r="BW29" s="240">
        <f>'Supply calc &gt;&gt;&gt;'!T29*Multipliers!$E29</f>
        <v>26986221.053499915</v>
      </c>
      <c r="BX29" s="78">
        <f>'Supply calc &gt;&gt;&gt;'!V29*'National data'!$Z31/1000000</f>
        <v>465.62331642294572</v>
      </c>
      <c r="BY29" s="192">
        <f>'Supply calc &gt;&gt;&gt;'!V29*Multipliers!$E29</f>
        <v>60346814.543219432</v>
      </c>
      <c r="BZ29" s="118">
        <f>'Supply calc &gt;&gt;&gt;'!X29*'National data'!$Z31/1000000</f>
        <v>29.096578816564229</v>
      </c>
      <c r="CA29" s="192">
        <f>'Supply calc &gt;&gt;&gt;'!X29*Multipliers!$E29</f>
        <v>3771043.6392545723</v>
      </c>
      <c r="CB29" s="234">
        <f>'Supply calc &gt;&gt;&gt;'!Z29*'National data'!$Z31/1000000</f>
        <v>2793.7995285057855</v>
      </c>
      <c r="CC29" s="229">
        <f>'Supply calc &gt;&gt;&gt;'!Z29*Multipliers!$E29</f>
        <v>362088615.56350559</v>
      </c>
    </row>
    <row r="30" spans="1:81">
      <c r="A30" s="9">
        <v>29</v>
      </c>
      <c r="B30" s="1" t="s">
        <v>454</v>
      </c>
      <c r="C30" s="1" t="s">
        <v>455</v>
      </c>
      <c r="D30" s="1">
        <v>0</v>
      </c>
      <c r="E30" s="191">
        <f>'Supply calc &gt;&gt;&gt;'!E30*'Farms proportions'!AK31</f>
        <v>14438692.56084335</v>
      </c>
      <c r="F30" s="118">
        <f>E30/'National data'!$S32/'Assumptions data'!$AA31</f>
        <v>275.02271544463525</v>
      </c>
      <c r="G30" s="240">
        <f>'Supply calc &gt;&gt;&gt;'!E30*'Farms proportions'!AL31</f>
        <v>20721212.131515343</v>
      </c>
      <c r="H30" s="118">
        <f>G30/'National data'!$T32/'Assumptions data'!$AA31</f>
        <v>102.32697348896465</v>
      </c>
      <c r="I30" s="118">
        <f>F30*'National data'!V32+H30*'National data'!X31</f>
        <v>148052.32736959553</v>
      </c>
      <c r="J30" s="242">
        <f>'Supply calc &gt;&gt;&gt;'!G30*'Farms proportions'!$AK31</f>
        <v>1827185.1383176465</v>
      </c>
      <c r="K30" s="234">
        <f>J30/'National data'!$S32/'Assumptions data'!$AA31</f>
        <v>34.803526444145653</v>
      </c>
      <c r="L30" s="230">
        <f>'Supply calc &gt;&gt;&gt;'!G30*'Farms proportions'!$AL31</f>
        <v>2622224.3250271617</v>
      </c>
      <c r="M30" s="118">
        <f>L30/'National data'!$T32/'Assumptions data'!$AA31</f>
        <v>12.94925592606006</v>
      </c>
      <c r="N30" s="118">
        <f>K30*'National data'!$V32+M30*'National data'!$X31</f>
        <v>18735.700003523256</v>
      </c>
      <c r="O30" s="242">
        <f>'Supply calc &gt;&gt;&gt;'!I30*'Farms proportions'!$AK31</f>
        <v>3331711.1132984469</v>
      </c>
      <c r="P30" s="234">
        <f>O30/'National data'!$S32/'Assumptions data'!$AA31</f>
        <v>63.461164062827564</v>
      </c>
      <c r="Q30" s="230">
        <f>'Supply calc &gt;&gt;&gt;'!I30*'Farms proportions'!$AL31</f>
        <v>4781395.0223448677</v>
      </c>
      <c r="R30" s="118">
        <f>Q30/'National data'!$T32/'Assumptions data'!$AA31</f>
        <v>23.611827270838855</v>
      </c>
      <c r="S30" s="118">
        <f>P30*'National data'!$V32+R30*'National data'!$X31</f>
        <v>34162.898224226061</v>
      </c>
      <c r="T30" s="242">
        <f>'Supply calc &gt;&gt;&gt;'!K30*'Farms proportions'!$AK31</f>
        <v>7381120.6035561953</v>
      </c>
      <c r="U30" s="234">
        <f>T30/'National data'!$S32/'Assumptions data'!$AA31</f>
        <v>140.59277340107039</v>
      </c>
      <c r="V30" s="230">
        <f>'Supply calc &gt;&gt;&gt;'!K30*'Farms proportions'!$AL31</f>
        <v>10592771.135619571</v>
      </c>
      <c r="W30" s="118">
        <f>V30/'National data'!$T32/'Assumptions data'!$AA31</f>
        <v>52.309980916639859</v>
      </c>
      <c r="X30" s="118">
        <f>U30*'National data'!$V32+W30*'National data'!$X31</f>
        <v>75684.974892791783</v>
      </c>
      <c r="Y30" s="242">
        <f>'Supply calc &gt;&gt;&gt;'!M30*'Farms proportions'!$AK31</f>
        <v>119853.18443219164</v>
      </c>
      <c r="Z30" s="234">
        <f>Y30/'National data'!$S32/'Assumptions data'!$AA31</f>
        <v>2.2829177987084122</v>
      </c>
      <c r="AA30" s="230">
        <f>'Supply calc &gt;&gt;&gt;'!M30*'Farms proportions'!$AL31</f>
        <v>172003.33401322979</v>
      </c>
      <c r="AB30" s="118">
        <f>AA30/'National data'!$T32/'Assumptions data'!$AA31</f>
        <v>0.84939918031224582</v>
      </c>
      <c r="AC30" s="118">
        <f>Z30*'National data'!$V32+AB30*'National data'!$X31</f>
        <v>1228.9577344395582</v>
      </c>
      <c r="AD30" s="191">
        <f>'Supply calc &gt;&gt;&gt;'!O30*'Farms proportions'!AK31</f>
        <v>3095802.0003908905</v>
      </c>
      <c r="AE30" s="118">
        <f>AD30/'National data'!$S32/'Assumptions data'!$AA31</f>
        <v>58.967657150302678</v>
      </c>
      <c r="AF30" s="240">
        <f>'Supply calc &gt;&gt;&gt;'!O30*'Farms proportions'!AL31</f>
        <v>4442837.8606270645</v>
      </c>
      <c r="AG30" s="118">
        <f>AF30/'National data'!$T32/'Assumptions data'!$AA31</f>
        <v>21.939940052479333</v>
      </c>
      <c r="AH30" s="178">
        <f>AE30*'National data'!V31+AG30*'National data'!X31</f>
        <v>31743.919285067845</v>
      </c>
      <c r="AI30" s="191">
        <f>'Supply calc &gt;&gt;&gt;'!Q30*'Farms proportions'!$AK31</f>
        <v>2025930.1183537401</v>
      </c>
      <c r="AJ30" s="118">
        <f>AI30/'National data'!$S32/'Assumptions data'!$AA31</f>
        <v>38.589145111499811</v>
      </c>
      <c r="AK30" s="240">
        <f>'Supply calc &gt;&gt;&gt;'!Q30*'Farms proportions'!$AL31</f>
        <v>2907446.6104971096</v>
      </c>
      <c r="AL30" s="118">
        <f>AK30/'National data'!$T32/'Assumptions data'!$AA31</f>
        <v>14.357761039491901</v>
      </c>
      <c r="AM30" s="178">
        <f>AJ30*'National data'!$V31+AL30*'National data'!$X31</f>
        <v>20773.603139376766</v>
      </c>
      <c r="AN30" s="191">
        <f>'Supply calc &gt;&gt;&gt;'!S30*'Farms proportions'!$AK31</f>
        <v>916787.52315728704</v>
      </c>
      <c r="AO30" s="118">
        <f>AN30/'National data'!$S32/'Assumptions data'!$AA31</f>
        <v>17.462619488710228</v>
      </c>
      <c r="AP30" s="240">
        <f>'Supply calc &gt;&gt;&gt;'!S30*'Farms proportions'!$AL31</f>
        <v>1315697.2950852197</v>
      </c>
      <c r="AQ30" s="118">
        <f>AP30/'National data'!$T32/'Assumptions data'!$AA31</f>
        <v>6.4972705930134307</v>
      </c>
      <c r="AR30" s="178">
        <f>AO30*'National data'!$V31+AQ30*'National data'!$X31</f>
        <v>9400.6106117211566</v>
      </c>
      <c r="AS30" s="191">
        <f>'Supply calc &gt;&gt;&gt;'!U30*'Farms proportions'!$AK31</f>
        <v>803220.411071599</v>
      </c>
      <c r="AT30" s="118">
        <f>AS30/'National data'!$S32/'Assumptions data'!$AA31</f>
        <v>15.299436401363792</v>
      </c>
      <c r="AU30" s="240">
        <f>'Supply calc &gt;&gt;&gt;'!U30*'Farms proportions'!$AL31</f>
        <v>1152715.2099154755</v>
      </c>
      <c r="AV30" s="118">
        <f>AU30/'National data'!$T32/'Assumptions data'!$AA31</f>
        <v>5.6924207897060519</v>
      </c>
      <c r="AW30" s="178">
        <f>AT30*'National data'!$V31+AV30*'National data'!$X31</f>
        <v>8236.1093810122347</v>
      </c>
      <c r="AX30" s="191">
        <f>'Supply calc &gt;&gt;&gt;'!W30*'Farms proportions'!$AK31</f>
        <v>26959.086603460524</v>
      </c>
      <c r="AY30" s="118">
        <f>AX30/'National data'!$S32/'Assumptions data'!$AA31</f>
        <v>0.51350641149448617</v>
      </c>
      <c r="AZ30" s="240">
        <f>'Supply calc &gt;&gt;&gt;'!W30*'Farms proportions'!$AL31</f>
        <v>38689.441584007945</v>
      </c>
      <c r="BA30" s="118">
        <f>AZ30/'National data'!$T32/'Assumptions data'!$AA31</f>
        <v>0.19105897078522444</v>
      </c>
      <c r="BB30" s="118">
        <f>AY30*'National data'!$V31+BA30*'National data'!$X31</f>
        <v>276.43469092382168</v>
      </c>
      <c r="BC30" s="78">
        <f>'Supply calc &gt;&gt;&gt;'!Y30*'Farms proportions'!AK31</f>
        <v>2112323.726812325</v>
      </c>
      <c r="BD30" s="234">
        <f>BC30/'National data'!$S32/'Assumptions data'!$AA31</f>
        <v>40.234737653568097</v>
      </c>
      <c r="BE30" s="118">
        <f>'Supply calc &gt;&gt;&gt;'!Y30*'Farms proportions'!AL31</f>
        <v>3031431.5405822792</v>
      </c>
      <c r="BF30" s="234">
        <f>BE30/'National data'!$T32/'Assumptions data'!$AA31</f>
        <v>14.970032299171748</v>
      </c>
      <c r="BG30" s="235">
        <f>BD30*'National data'!$V31+BF30*'National data'!$X31</f>
        <v>21659.471077090093</v>
      </c>
      <c r="BH30" s="118">
        <f>'Supply calc &gt;&gt;&gt;'!F30*'National data'!Z32/1000000</f>
        <v>10416.459559303123</v>
      </c>
      <c r="BI30" s="192">
        <f>'Supply calc &gt;&gt;&gt;'!F30*Multipliers!E30</f>
        <v>1350018633.1975398</v>
      </c>
      <c r="BJ30" s="247">
        <f>'Supply calc &gt;&gt;&gt;'!H30*'National data'!$Z32/1000000</f>
        <v>1318.1803006361513</v>
      </c>
      <c r="BK30" s="229">
        <f>'Supply calc &gt;&gt;&gt;'!H30*Multipliers!$E30</f>
        <v>170841921.63770038</v>
      </c>
      <c r="BL30" s="247">
        <f>'Supply calc &gt;&gt;&gt;'!J30*'National data'!$Z32/1000000</f>
        <v>2403.5856382918228</v>
      </c>
      <c r="BM30" s="229">
        <f>'Supply calc &gt;&gt;&gt;'!J30*Multipliers!$E30</f>
        <v>311515191.86592519</v>
      </c>
      <c r="BN30" s="247">
        <f>'Supply calc &gt;&gt;&gt;'!L30*'National data'!$Z32/1000000</f>
        <v>5324.9381095480148</v>
      </c>
      <c r="BO30" s="229">
        <f>'Supply calc &gt;&gt;&gt;'!L30*Multipliers!$E30</f>
        <v>690135225.65765536</v>
      </c>
      <c r="BP30" s="247">
        <f>'Supply calc &gt;&gt;&gt;'!N30*'National data'!$Z32/1000000</f>
        <v>86.46529756283573</v>
      </c>
      <c r="BQ30" s="229">
        <f>'Supply calc &gt;&gt;&gt;'!N30*Multipliers!$E30</f>
        <v>11206280.038839554</v>
      </c>
      <c r="BR30" s="118">
        <f>'Supply calc &gt;&gt;&gt;'!P30*'National data'!Z32/1000000</f>
        <v>1159.2099577948088</v>
      </c>
      <c r="BS30" s="192">
        <f>'Supply calc &gt;&gt;&gt;'!P30*Multipliers!E30</f>
        <v>150238671.20123717</v>
      </c>
      <c r="BT30" s="118">
        <f>'Supply calc &gt;&gt;&gt;'!R30*'National data'!$Z32/1000000</f>
        <v>758.60095920073093</v>
      </c>
      <c r="BU30" s="192">
        <f>'Supply calc &gt;&gt;&gt;'!R30*Multipliers!$E30</f>
        <v>98317996.076493084</v>
      </c>
      <c r="BV30" s="118">
        <f>'Supply calc &gt;&gt;&gt;'!T30*'National data'!$Z32/1000000</f>
        <v>343.28720825549516</v>
      </c>
      <c r="BW30" s="240">
        <f>'Supply calc &gt;&gt;&gt;'!T30*Multipliers!$E30</f>
        <v>44491520.851667166</v>
      </c>
      <c r="BX30" s="78">
        <f>'Supply calc &gt;&gt;&gt;'!V30*'National data'!$Z32/1000000</f>
        <v>300.76248374433249</v>
      </c>
      <c r="BY30" s="192">
        <f>'Supply calc &gt;&gt;&gt;'!V30*Multipliers!$E30</f>
        <v>38980130.908201344</v>
      </c>
      <c r="BZ30" s="118">
        <f>'Supply calc &gt;&gt;&gt;'!X30*'National data'!$Z32/1000000</f>
        <v>10.094715889400597</v>
      </c>
      <c r="CA30" s="192">
        <f>'Supply calc &gt;&gt;&gt;'!X30*Multipliers!$E30</f>
        <v>1308319.2489673351</v>
      </c>
      <c r="CB30" s="234">
        <f>'Supply calc &gt;&gt;&gt;'!Z30*'National data'!$Z32/1000000</f>
        <v>790.95068027539025</v>
      </c>
      <c r="CC30" s="229">
        <f>'Supply calc &gt;&gt;&gt;'!Z30*Multipliers!$E30</f>
        <v>102510661.15438209</v>
      </c>
    </row>
    <row r="31" spans="1:81">
      <c r="A31" s="9">
        <v>30</v>
      </c>
      <c r="B31" s="1" t="s">
        <v>459</v>
      </c>
      <c r="C31" s="1" t="s">
        <v>460</v>
      </c>
      <c r="D31" s="1">
        <v>0</v>
      </c>
      <c r="E31" s="191">
        <f>'Supply calc &gt;&gt;&gt;'!E31*'Farms proportions'!AK32</f>
        <v>22618118.522811297</v>
      </c>
      <c r="F31" s="118">
        <f>E31/'National data'!$S33/'Assumptions data'!$AA32</f>
        <v>430.82130519640566</v>
      </c>
      <c r="G31" s="240">
        <f>'Supply calc &gt;&gt;&gt;'!E31*'Farms proportions'!AL32</f>
        <v>57827982.610307403</v>
      </c>
      <c r="H31" s="118">
        <f>G31/'National data'!$T33/'Assumptions data'!$AA32</f>
        <v>285.57028449534522</v>
      </c>
      <c r="I31" s="118">
        <f>F31*'National data'!V33+H31*'National data'!X32</f>
        <v>335400.77649352484</v>
      </c>
      <c r="J31" s="242">
        <f>'Supply calc &gt;&gt;&gt;'!G31*'Farms proportions'!$AK32</f>
        <v>8011893.3671358721</v>
      </c>
      <c r="K31" s="234">
        <f>J31/'National data'!$S33/'Assumptions data'!$AA32</f>
        <v>152.60749270734996</v>
      </c>
      <c r="L31" s="230">
        <f>'Supply calc &gt;&gt;&gt;'!G31*'Farms proportions'!$AL32</f>
        <v>20484092.42541999</v>
      </c>
      <c r="M31" s="118">
        <f>L31/'National data'!$T33/'Assumptions data'!$AA32</f>
        <v>101.15601197738268</v>
      </c>
      <c r="N31" s="118">
        <f>K31*'National data'!$V33+M31*'National data'!$X32</f>
        <v>118807.19670871593</v>
      </c>
      <c r="O31" s="242">
        <f>'Supply calc &gt;&gt;&gt;'!I31*'Farms proportions'!$AK32</f>
        <v>8140792.6068283627</v>
      </c>
      <c r="P31" s="234">
        <f>O31/'National data'!$S33/'Assumptions data'!$AA32</f>
        <v>155.06271632054023</v>
      </c>
      <c r="Q31" s="230">
        <f>'Supply calc &gt;&gt;&gt;'!I31*'Farms proportions'!$AL32</f>
        <v>20813650.473491121</v>
      </c>
      <c r="R31" s="118">
        <f>Q31/'National data'!$T33/'Assumptions data'!$AA32</f>
        <v>102.78345912835121</v>
      </c>
      <c r="S31" s="118">
        <f>P31*'National data'!$V33+R31*'National data'!$X32</f>
        <v>120718.6247100629</v>
      </c>
      <c r="T31" s="242">
        <f>'Supply calc &gt;&gt;&gt;'!K31*'Farms proportions'!$AK32</f>
        <v>18074738.078323867</v>
      </c>
      <c r="U31" s="234">
        <f>T31/'National data'!$S33/'Assumptions data'!$AA32</f>
        <v>344.28072530140702</v>
      </c>
      <c r="V31" s="230">
        <f>'Supply calc &gt;&gt;&gt;'!K31*'Farms proportions'!$AL32</f>
        <v>46211873.822529539</v>
      </c>
      <c r="W31" s="118">
        <f>V31/'National data'!$T33/'Assumptions data'!$AA32</f>
        <v>228.20678430878786</v>
      </c>
      <c r="X31" s="118">
        <f>U31*'National data'!$V33+W31*'National data'!$X32</f>
        <v>268027.65138368378</v>
      </c>
      <c r="Y31" s="242">
        <f>'Supply calc &gt;&gt;&gt;'!M31*'Farms proportions'!$AK32</f>
        <v>139899.0546181633</v>
      </c>
      <c r="Z31" s="234">
        <f>Y31/'National data'!$S33/'Assumptions data'!$AA32</f>
        <v>2.6647438974888247</v>
      </c>
      <c r="AA31" s="230">
        <f>'Supply calc &gt;&gt;&gt;'!M31*'Farms proportions'!$AL32</f>
        <v>357681.3911156411</v>
      </c>
      <c r="AB31" s="118">
        <f>AA31/'National data'!$T33/'Assumptions data'!$AA32</f>
        <v>1.7663278573611907</v>
      </c>
      <c r="AC31" s="118">
        <f>Z31*'National data'!$V33+AB31*'National data'!$X32</f>
        <v>2074.542650500262</v>
      </c>
      <c r="AD31" s="191">
        <f>'Supply calc &gt;&gt;&gt;'!O31*'Farms proportions'!AK32</f>
        <v>4518508.1147356145</v>
      </c>
      <c r="AE31" s="118">
        <f>AD31/'National data'!$S33/'Assumptions data'!$AA32</f>
        <v>86.066821233059329</v>
      </c>
      <c r="AF31" s="240">
        <f>'Supply calc &gt;&gt;&gt;'!O31*'Farms proportions'!AL32</f>
        <v>11552517.439500378</v>
      </c>
      <c r="AG31" s="118">
        <f>AF31/'National data'!$T33/'Assumptions data'!$AA32</f>
        <v>57.049468837038901</v>
      </c>
      <c r="AH31" s="178">
        <f>AE31*'National data'!V32+AG31*'National data'!X32</f>
        <v>67004.296964230845</v>
      </c>
      <c r="AI31" s="191">
        <f>'Supply calc &gt;&gt;&gt;'!Q31*'Farms proportions'!$AK32</f>
        <v>4099243.604629165</v>
      </c>
      <c r="AJ31" s="118">
        <f>AI31/'National data'!$S33/'Assumptions data'!$AA32</f>
        <v>78.080830564365058</v>
      </c>
      <c r="AK31" s="240">
        <f>'Supply calc &gt;&gt;&gt;'!Q31*'Farms proportions'!$AL32</f>
        <v>10480579.43656249</v>
      </c>
      <c r="AL31" s="118">
        <f>AK31/'National data'!$T33/'Assumptions data'!$AA32</f>
        <v>51.755947834876494</v>
      </c>
      <c r="AM31" s="178">
        <f>AJ31*'National data'!$V32+AL31*'National data'!$X32</f>
        <v>60787.084771976311</v>
      </c>
      <c r="AN31" s="191">
        <f>'Supply calc &gt;&gt;&gt;'!S31*'Farms proportions'!$AK32</f>
        <v>763410.77801980439</v>
      </c>
      <c r="AO31" s="118">
        <f>AN31/'National data'!$S33/'Assumptions data'!$AA32</f>
        <v>14.541157676567703</v>
      </c>
      <c r="AP31" s="240">
        <f>'Supply calc &gt;&gt;&gt;'!S31*'Farms proportions'!$AL32</f>
        <v>1951820.4023613611</v>
      </c>
      <c r="AQ31" s="118">
        <f>AP31/'National data'!$T33/'Assumptions data'!$AA32</f>
        <v>9.6386192709203016</v>
      </c>
      <c r="AR31" s="178">
        <f>AO31*'National data'!$V32+AQ31*'National data'!$X32</f>
        <v>11320.50694106731</v>
      </c>
      <c r="AS31" s="191">
        <f>'Supply calc &gt;&gt;&gt;'!U31*'Farms proportions'!$AK32</f>
        <v>1320878.9685816711</v>
      </c>
      <c r="AT31" s="118">
        <f>AS31/'National data'!$S33/'Assumptions data'!$AA32</f>
        <v>25.159599401555642</v>
      </c>
      <c r="AU31" s="240">
        <f>'Supply calc &gt;&gt;&gt;'!U31*'Farms proportions'!$AL32</f>
        <v>3377105.2153796754</v>
      </c>
      <c r="AV31" s="118">
        <f>AU31/'National data'!$T33/'Assumptions data'!$AA32</f>
        <v>16.677062791998399</v>
      </c>
      <c r="AW31" s="178">
        <f>AT31*'National data'!$V32+AV31*'National data'!$X32</f>
        <v>19587.12132795003</v>
      </c>
      <c r="AX31" s="191">
        <f>'Supply calc &gt;&gt;&gt;'!W31*'Farms proportions'!$AK32</f>
        <v>17194.960621942158</v>
      </c>
      <c r="AY31" s="118">
        <f>AX31/'National data'!$S33/'Assumptions data'!$AA32</f>
        <v>0.32752305946556493</v>
      </c>
      <c r="AZ31" s="240">
        <f>'Supply calc &gt;&gt;&gt;'!W31*'Farms proportions'!$AL32</f>
        <v>43962.537504069995</v>
      </c>
      <c r="BA31" s="118">
        <f>AZ31/'National data'!$T33/'Assumptions data'!$AA32</f>
        <v>0.21709895063738269</v>
      </c>
      <c r="BB31" s="118">
        <f>AY31*'National data'!$V32+BA31*'National data'!$X32</f>
        <v>254.98155996302361</v>
      </c>
      <c r="BC31" s="78">
        <f>'Supply calc &gt;&gt;&gt;'!Y31*'Farms proportions'!AK32</f>
        <v>6528622.5488476213</v>
      </c>
      <c r="BD31" s="234">
        <f>BC31/'National data'!$S33/'Assumptions data'!$AA32</f>
        <v>124.35471521614517</v>
      </c>
      <c r="BE31" s="118">
        <f>'Supply calc &gt;&gt;&gt;'!Y31*'Farms proportions'!AL32</f>
        <v>16691798.252063252</v>
      </c>
      <c r="BF31" s="234">
        <f>BE31/'National data'!$T33/'Assumptions data'!$AA32</f>
        <v>82.428633343522236</v>
      </c>
      <c r="BG31" s="235">
        <f>BD31*'National data'!$V32+BF31*'National data'!$X32</f>
        <v>96811.9903566789</v>
      </c>
      <c r="BH31" s="118">
        <f>'Supply calc &gt;&gt;&gt;'!F31*'National data'!Z33/1000000</f>
        <v>45941.421067870804</v>
      </c>
      <c r="BI31" s="192">
        <f>'Supply calc &gt;&gt;&gt;'!F31*Multipliers!E31</f>
        <v>5954208733.2165432</v>
      </c>
      <c r="BJ31" s="247">
        <f>'Supply calc &gt;&gt;&gt;'!H31*'National data'!$Z33/1000000</f>
        <v>16273.580243168717</v>
      </c>
      <c r="BK31" s="229">
        <f>'Supply calc &gt;&gt;&gt;'!H31*Multipliers!$E31</f>
        <v>2109127043.7940354</v>
      </c>
      <c r="BL31" s="247">
        <f>'Supply calc &gt;&gt;&gt;'!J31*'National data'!$Z33/1000000</f>
        <v>16535.397522093521</v>
      </c>
      <c r="BM31" s="229">
        <f>'Supply calc &gt;&gt;&gt;'!J31*Multipliers!$E31</f>
        <v>2143059706.1376321</v>
      </c>
      <c r="BN31" s="247">
        <f>'Supply calc &gt;&gt;&gt;'!L31*'National data'!$Z33/1000000</f>
        <v>36713.007402020805</v>
      </c>
      <c r="BO31" s="229">
        <f>'Supply calc &gt;&gt;&gt;'!L31*Multipliers!$E31</f>
        <v>4758166034.3683167</v>
      </c>
      <c r="BP31" s="247">
        <f>'Supply calc &gt;&gt;&gt;'!N31*'National data'!$Z33/1000000</f>
        <v>284.15985921764633</v>
      </c>
      <c r="BQ31" s="229">
        <f>'Supply calc &gt;&gt;&gt;'!N31*Multipliers!$E31</f>
        <v>36828358.288780898</v>
      </c>
      <c r="BR31" s="118">
        <f>'Supply calc &gt;&gt;&gt;'!P31*'National data'!Z33/1000000</f>
        <v>4648.128183844763</v>
      </c>
      <c r="BS31" s="192">
        <f>'Supply calc &gt;&gt;&gt;'!P31*Multipliers!E31</f>
        <v>602417704.59106743</v>
      </c>
      <c r="BT31" s="118">
        <f>'Supply calc &gt;&gt;&gt;'!R31*'National data'!$Z33/1000000</f>
        <v>4216.8364529399732</v>
      </c>
      <c r="BU31" s="192">
        <f>'Supply calc &gt;&gt;&gt;'!R31*Multipliers!$E31</f>
        <v>546520413.40968275</v>
      </c>
      <c r="BV31" s="118">
        <f>'Supply calc &gt;&gt;&gt;'!T31*'National data'!$Z33/1000000</f>
        <v>785.31034205575054</v>
      </c>
      <c r="BW31" s="240">
        <f>'Supply calc &gt;&gt;&gt;'!T31*Multipliers!$E31</f>
        <v>101779648.69753928</v>
      </c>
      <c r="BX31" s="78">
        <f>'Supply calc &gt;&gt;&gt;'!V31*'National data'!$Z33/1000000</f>
        <v>1358.7703298108393</v>
      </c>
      <c r="BY31" s="192">
        <f>'Supply calc &gt;&gt;&gt;'!V31*Multipliers!$E31</f>
        <v>176102566.61941299</v>
      </c>
      <c r="BZ31" s="118">
        <f>'Supply calc &gt;&gt;&gt;'!X31*'National data'!$Z33/1000000</f>
        <v>17.688223426290499</v>
      </c>
      <c r="CA31" s="192">
        <f>'Supply calc &gt;&gt;&gt;'!X31*Multipliers!$E31</f>
        <v>2292470.9761222336</v>
      </c>
      <c r="CB31" s="234">
        <f>'Supply calc &gt;&gt;&gt;'!Z31*'National data'!$Z33/1000000</f>
        <v>6715.9057149903201</v>
      </c>
      <c r="CC31" s="229">
        <f>'Supply calc &gt;&gt;&gt;'!Z31*Multipliers!$E31</f>
        <v>870410699.76000059</v>
      </c>
    </row>
    <row r="32" spans="1:81">
      <c r="A32" s="9">
        <v>31</v>
      </c>
      <c r="B32" s="1" t="s">
        <v>464</v>
      </c>
      <c r="C32" s="1" t="s">
        <v>465</v>
      </c>
      <c r="D32" s="1">
        <v>0</v>
      </c>
      <c r="E32" s="191">
        <f>'Supply calc &gt;&gt;&gt;'!E32*'Farms proportions'!AK33</f>
        <v>1515232.9048756349</v>
      </c>
      <c r="F32" s="118">
        <f>E32/'National data'!$S34/'Assumptions data'!$AA33</f>
        <v>28.861579140488285</v>
      </c>
      <c r="G32" s="240">
        <f>'Supply calc &gt;&gt;&gt;'!E32*'Farms proportions'!AL33</f>
        <v>1699561.0104942692</v>
      </c>
      <c r="H32" s="118">
        <f>G32/'National data'!$T34/'Assumptions data'!$AA33</f>
        <v>8.3928938789840473</v>
      </c>
      <c r="I32" s="118">
        <f>F32*'National data'!V34+H32*'National data'!X33</f>
        <v>13599.555125493618</v>
      </c>
      <c r="J32" s="242">
        <f>'Supply calc &gt;&gt;&gt;'!G32*'Farms proportions'!$AK33</f>
        <v>477986.54113881144</v>
      </c>
      <c r="K32" s="234">
        <f>J32/'National data'!$S34/'Assumptions data'!$AA33</f>
        <v>9.104505545501171</v>
      </c>
      <c r="L32" s="230">
        <f>'Supply calc &gt;&gt;&gt;'!G32*'Farms proportions'!$AL33</f>
        <v>536133.61104193772</v>
      </c>
      <c r="M32" s="118">
        <f>L32/'National data'!$T34/'Assumptions data'!$AA33</f>
        <v>2.6475733878614212</v>
      </c>
      <c r="N32" s="118">
        <f>K32*'National data'!$V34+M32*'National data'!$X33</f>
        <v>4290.0363993843039</v>
      </c>
      <c r="O32" s="242">
        <f>'Supply calc &gt;&gt;&gt;'!I32*'Farms proportions'!$AK33</f>
        <v>170793.19975749587</v>
      </c>
      <c r="P32" s="234">
        <f>O32/'National data'!$S34/'Assumptions data'!$AA33</f>
        <v>3.2532038049046834</v>
      </c>
      <c r="Q32" s="230">
        <f>'Supply calc &gt;&gt;&gt;'!I32*'Farms proportions'!$AL33</f>
        <v>191570.19507124808</v>
      </c>
      <c r="R32" s="118">
        <f>Q32/'National data'!$T34/'Assumptions data'!$AA33</f>
        <v>0.94602565467283006</v>
      </c>
      <c r="S32" s="118">
        <f>P32*'National data'!$V34+R32*'National data'!$X33</f>
        <v>1532.9072696927396</v>
      </c>
      <c r="T32" s="242">
        <f>'Supply calc &gt;&gt;&gt;'!K32*'Farms proportions'!$AK33</f>
        <v>506838.16300277243</v>
      </c>
      <c r="U32" s="234">
        <f>T32/'National data'!$S34/'Assumptions data'!$AA33</f>
        <v>9.6540602476718558</v>
      </c>
      <c r="V32" s="230">
        <f>'Supply calc &gt;&gt;&gt;'!K32*'Farms proportions'!$AL33</f>
        <v>568495.0331386528</v>
      </c>
      <c r="W32" s="118">
        <f>V32/'National data'!$T34/'Assumptions data'!$AA33</f>
        <v>2.8073828796970508</v>
      </c>
      <c r="X32" s="118">
        <f>U32*'National data'!$V34+W32*'National data'!$X33</f>
        <v>4548.9861758419629</v>
      </c>
      <c r="Y32" s="242">
        <f>'Supply calc &gt;&gt;&gt;'!M32*'Farms proportions'!$AK33</f>
        <v>17046.736815764762</v>
      </c>
      <c r="Z32" s="234">
        <f>Y32/'National data'!$S34/'Assumptions data'!$AA33</f>
        <v>0.32469974887170977</v>
      </c>
      <c r="AA32" s="230">
        <f>'Supply calc &gt;&gt;&gt;'!M32*'Farms proportions'!$AL33</f>
        <v>19120.472605238821</v>
      </c>
      <c r="AB32" s="118">
        <f>AA32/'National data'!$T34/'Assumptions data'!$AA33</f>
        <v>9.4422086939450978E-2</v>
      </c>
      <c r="AC32" s="118">
        <f>Z32*'National data'!$V34+AB32*'National data'!$X33</f>
        <v>152.99828580135147</v>
      </c>
      <c r="AD32" s="191">
        <f>'Supply calc &gt;&gt;&gt;'!O32*'Farms proportions'!AK33</f>
        <v>505933.69537586701</v>
      </c>
      <c r="AE32" s="118">
        <f>AD32/'National data'!$S34/'Assumptions data'!$AA33</f>
        <v>9.6368322928736578</v>
      </c>
      <c r="AF32" s="240">
        <f>'Supply calc &gt;&gt;&gt;'!O32*'Farms proportions'!AL33</f>
        <v>567480.53701136005</v>
      </c>
      <c r="AG32" s="118">
        <f>AF32/'National data'!$T34/'Assumptions data'!$AA33</f>
        <v>2.8023730222783212</v>
      </c>
      <c r="AH32" s="178">
        <f>AE32*'National data'!V33+AG32*'National data'!X33</f>
        <v>4540.8683760557087</v>
      </c>
      <c r="AI32" s="191">
        <f>'Supply calc &gt;&gt;&gt;'!Q32*'Farms proportions'!$AK33</f>
        <v>444356.89922875201</v>
      </c>
      <c r="AJ32" s="118">
        <f>AI32/'National data'!$S34/'Assumptions data'!$AA33</f>
        <v>8.4639409376905146</v>
      </c>
      <c r="AK32" s="240">
        <f>'Supply calc &gt;&gt;&gt;'!Q32*'Farms proportions'!$AL33</f>
        <v>498412.92268880812</v>
      </c>
      <c r="AL32" s="118">
        <f>AK32/'National data'!$T34/'Assumptions data'!$AA33</f>
        <v>2.4612983836484355</v>
      </c>
      <c r="AM32" s="178">
        <f>AJ32*'National data'!$V33+AL32*'National data'!$X33</f>
        <v>3988.2028215001164</v>
      </c>
      <c r="AN32" s="191">
        <f>'Supply calc &gt;&gt;&gt;'!S32*'Farms proportions'!$AK33</f>
        <v>119922.49363879932</v>
      </c>
      <c r="AO32" s="118">
        <f>AN32/'National data'!$S34/'Assumptions data'!$AA33</f>
        <v>2.2842379740723682</v>
      </c>
      <c r="AP32" s="240">
        <f>'Supply calc &gt;&gt;&gt;'!S32*'Farms proportions'!$AL33</f>
        <v>134511.06678974797</v>
      </c>
      <c r="AQ32" s="118">
        <f>AP32/'National data'!$T34/'Assumptions data'!$AA33</f>
        <v>0.66425218167776778</v>
      </c>
      <c r="AR32" s="178">
        <f>AO32*'National data'!$V33+AQ32*'National data'!$X33</f>
        <v>1076.3312740765532</v>
      </c>
      <c r="AS32" s="191">
        <f>'Supply calc &gt;&gt;&gt;'!U32*'Farms proportions'!$AK33</f>
        <v>56269.438318873224</v>
      </c>
      <c r="AT32" s="118">
        <f>AS32/'National data'!$S34/'Assumptions data'!$AA33</f>
        <v>1.0717988251213948</v>
      </c>
      <c r="AU32" s="240">
        <f>'Supply calc &gt;&gt;&gt;'!U32*'Farms proportions'!$AL33</f>
        <v>63114.616334852093</v>
      </c>
      <c r="AV32" s="118">
        <f>AU32/'National data'!$T34/'Assumptions data'!$AA33</f>
        <v>0.31167711770297335</v>
      </c>
      <c r="AW32" s="178">
        <f>AT32*'National data'!$V33+AV32*'National data'!$X33</f>
        <v>505.03082782569822</v>
      </c>
      <c r="AX32" s="191">
        <f>'Supply calc &gt;&gt;&gt;'!W32*'Farms proportions'!$AK33</f>
        <v>4171.0454569695758</v>
      </c>
      <c r="AY32" s="118">
        <f>AX32/'National data'!$S34/'Assumptions data'!$AA33</f>
        <v>7.9448484894658597E-2</v>
      </c>
      <c r="AZ32" s="240">
        <f>'Supply calc &gt;&gt;&gt;'!W32*'Farms proportions'!$AL33</f>
        <v>4678.4531994086938</v>
      </c>
      <c r="BA32" s="118">
        <f>AZ32/'National data'!$T34/'Assumptions data'!$AA33</f>
        <v>2.3103472589672561E-2</v>
      </c>
      <c r="BB32" s="118">
        <f>AY32*'National data'!$V33+BA32*'National data'!$X33</f>
        <v>37.436068369735672</v>
      </c>
      <c r="BC32" s="78">
        <f>'Supply calc &gt;&gt;&gt;'!Y32*'Farms proportions'!AK33</f>
        <v>434631.62384853431</v>
      </c>
      <c r="BD32" s="234">
        <f>BC32/'National data'!$S34/'Assumptions data'!$AA33</f>
        <v>8.2786975971149399</v>
      </c>
      <c r="BE32" s="118">
        <f>'Supply calc &gt;&gt;&gt;'!Y32*'Farms proportions'!AL33</f>
        <v>487504.56741263065</v>
      </c>
      <c r="BF32" s="234">
        <f>BE32/'National data'!$T34/'Assumptions data'!$AA33</f>
        <v>2.4074299625315096</v>
      </c>
      <c r="BG32" s="235">
        <f>BD32*'National data'!$V33+BF32*'National data'!$X33</f>
        <v>3900.9162939845783</v>
      </c>
      <c r="BH32" s="118">
        <f>'Supply calc &gt;&gt;&gt;'!F32*'National data'!Z34/1000000</f>
        <v>14001.666918583176</v>
      </c>
      <c r="BI32" s="192">
        <f>'Supply calc &gt;&gt;&gt;'!F32*Multipliers!E32</f>
        <v>1814677158.6158276</v>
      </c>
      <c r="BJ32" s="247">
        <f>'Supply calc &gt;&gt;&gt;'!H32*'National data'!$Z34/1000000</f>
        <v>4416.8842420568999</v>
      </c>
      <c r="BK32" s="229">
        <f>'Supply calc &gt;&gt;&gt;'!H32*Multipliers!$E32</f>
        <v>572447480.21201289</v>
      </c>
      <c r="BL32" s="247">
        <f>'Supply calc &gt;&gt;&gt;'!J32*'National data'!$Z34/1000000</f>
        <v>1578.2322884281443</v>
      </c>
      <c r="BM32" s="229">
        <f>'Supply calc &gt;&gt;&gt;'!J32*Multipliers!$E32</f>
        <v>204545794.54389316</v>
      </c>
      <c r="BN32" s="247">
        <f>'Supply calc &gt;&gt;&gt;'!L32*'National data'!$Z34/1000000</f>
        <v>4683.4906483065388</v>
      </c>
      <c r="BO32" s="229">
        <f>'Supply calc &gt;&gt;&gt;'!L32*Multipliers!$E32</f>
        <v>607000834.36442173</v>
      </c>
      <c r="BP32" s="247">
        <f>'Supply calc &gt;&gt;&gt;'!N32*'National data'!$Z34/1000000</f>
        <v>157.52214077127474</v>
      </c>
      <c r="BQ32" s="229">
        <f>'Supply calc &gt;&gt;&gt;'!N32*Multipliers!$E32</f>
        <v>20415557.125881448</v>
      </c>
      <c r="BR32" s="118">
        <f>'Supply calc &gt;&gt;&gt;'!P32*'National data'!Z34/1000000</f>
        <v>2426.5576708944495</v>
      </c>
      <c r="BS32" s="192">
        <f>'Supply calc &gt;&gt;&gt;'!P32*Multipliers!E32</f>
        <v>314492467.57840753</v>
      </c>
      <c r="BT32" s="118">
        <f>'Supply calc &gt;&gt;&gt;'!R32*'National data'!$Z34/1000000</f>
        <v>2131.223226073811</v>
      </c>
      <c r="BU32" s="192">
        <f>'Supply calc &gt;&gt;&gt;'!R32*Multipliers!$E32</f>
        <v>276215834.21147621</v>
      </c>
      <c r="BV32" s="118">
        <f>'Supply calc &gt;&gt;&gt;'!T32*'National data'!$Z34/1000000</f>
        <v>575.17190397020534</v>
      </c>
      <c r="BW32" s="240">
        <f>'Supply calc &gt;&gt;&gt;'!T32*Multipliers!$E32</f>
        <v>74544789.736929744</v>
      </c>
      <c r="BX32" s="78">
        <f>'Supply calc &gt;&gt;&gt;'!V32*'National data'!$Z34/1000000</f>
        <v>269.87931113808332</v>
      </c>
      <c r="BY32" s="192">
        <f>'Supply calc &gt;&gt;&gt;'!V32*Multipliers!$E32</f>
        <v>34977536.914212711</v>
      </c>
      <c r="BZ32" s="118">
        <f>'Supply calc &gt;&gt;&gt;'!X32*'National data'!$Z34/1000000</f>
        <v>20.0051556987911</v>
      </c>
      <c r="CA32" s="192">
        <f>'Supply calc &gt;&gt;&gt;'!X32*Multipliers!$E32</f>
        <v>2592755.5134858862</v>
      </c>
      <c r="CB32" s="234">
        <f>'Supply calc &gt;&gt;&gt;'!Z32*'National data'!$Z34/1000000</f>
        <v>2084.5788894915318</v>
      </c>
      <c r="CC32" s="229">
        <f>'Supply calc &gt;&gt;&gt;'!Z32*Multipliers!$E32</f>
        <v>270170524.55892974</v>
      </c>
    </row>
    <row r="33" spans="1:81">
      <c r="A33" s="9">
        <v>32</v>
      </c>
      <c r="B33" s="1" t="s">
        <v>469</v>
      </c>
      <c r="C33" s="1" t="s">
        <v>470</v>
      </c>
      <c r="D33" s="1">
        <v>0</v>
      </c>
      <c r="E33" s="191">
        <f>'Supply calc &gt;&gt;&gt;'!E33*'Farms proportions'!AK34</f>
        <v>69854584.949350253</v>
      </c>
      <c r="F33" s="118">
        <f>E33/'National data'!$S35/'Assumptions data'!$AA34</f>
        <v>1330.5635228447668</v>
      </c>
      <c r="G33" s="240">
        <f>'Supply calc &gt;&gt;&gt;'!E33*'Farms proportions'!AL34</f>
        <v>187609571.67333999</v>
      </c>
      <c r="H33" s="118">
        <f>G33/'National data'!$T35/'Assumptions data'!$AA34</f>
        <v>926.46702060908638</v>
      </c>
      <c r="I33" s="118">
        <f>F33*'National data'!V35+H33*'National data'!X34</f>
        <v>1072621.9328002464</v>
      </c>
      <c r="J33" s="242">
        <f>'Supply calc &gt;&gt;&gt;'!G33*'Farms proportions'!$AK34</f>
        <v>24977346.434103746</v>
      </c>
      <c r="K33" s="234">
        <f>J33/'National data'!$S35/'Assumptions data'!$AA34</f>
        <v>475.75897969721422</v>
      </c>
      <c r="L33" s="230">
        <f>'Supply calc &gt;&gt;&gt;'!G33*'Farms proportions'!$AL34</f>
        <v>67082057.239857897</v>
      </c>
      <c r="M33" s="118">
        <f>L33/'National data'!$T35/'Assumptions data'!$AA34</f>
        <v>331.26941846843408</v>
      </c>
      <c r="N33" s="118">
        <f>K33*'National data'!$V35+M33*'National data'!$X34</f>
        <v>383528.86396498303</v>
      </c>
      <c r="O33" s="242">
        <f>'Supply calc &gt;&gt;&gt;'!I33*'Farms proportions'!$AK34</f>
        <v>11149562.869131315</v>
      </c>
      <c r="P33" s="234">
        <f>O33/'National data'!$S35/'Assumptions data'!$AA34</f>
        <v>212.37262607869172</v>
      </c>
      <c r="Q33" s="230">
        <f>'Supply calc &gt;&gt;&gt;'!I33*'Farms proportions'!$AL34</f>
        <v>29944558.624740042</v>
      </c>
      <c r="R33" s="118">
        <f>Q33/'National data'!$T35/'Assumptions data'!$AA34</f>
        <v>147.87436357896317</v>
      </c>
      <c r="S33" s="118">
        <f>P33*'National data'!$V35+R33*'National data'!$X34</f>
        <v>171202.30094040139</v>
      </c>
      <c r="T33" s="242">
        <f>'Supply calc &gt;&gt;&gt;'!K33*'Farms proportions'!$AK34</f>
        <v>37043341.853951864</v>
      </c>
      <c r="U33" s="234">
        <f>T33/'National data'!$S35/'Assumptions data'!$AA34</f>
        <v>705.58746388479744</v>
      </c>
      <c r="V33" s="230">
        <f>'Supply calc &gt;&gt;&gt;'!K33*'Farms proportions'!$AL34</f>
        <v>99487893.366026789</v>
      </c>
      <c r="W33" s="118">
        <f>V33/'National data'!$T35/'Assumptions data'!$AA34</f>
        <v>491.29823884457676</v>
      </c>
      <c r="X33" s="118">
        <f>U33*'National data'!$V35+W33*'National data'!$X34</f>
        <v>568803.04944300861</v>
      </c>
      <c r="Y33" s="242">
        <f>'Supply calc &gt;&gt;&gt;'!M33*'Farms proportions'!$AK34</f>
        <v>425986.52496415848</v>
      </c>
      <c r="Z33" s="234">
        <f>Y33/'National data'!$S35/'Assumptions data'!$AA34</f>
        <v>8.1140290469363521</v>
      </c>
      <c r="AA33" s="230">
        <f>'Supply calc &gt;&gt;&gt;'!M33*'Farms proportions'!$AL34</f>
        <v>1144078.7966185415</v>
      </c>
      <c r="AB33" s="118">
        <f>AA33/'National data'!$T35/'Assumptions data'!$AA34</f>
        <v>5.6497718351532917</v>
      </c>
      <c r="AC33" s="118">
        <f>Z33*'National data'!$V35+AB33*'National data'!$X34</f>
        <v>6541.0522456789167</v>
      </c>
      <c r="AD33" s="191">
        <f>'Supply calc &gt;&gt;&gt;'!O33*'Farms proportions'!AK34</f>
        <v>19353265.515200309</v>
      </c>
      <c r="AE33" s="118">
        <f>AD33/'National data'!$S35/'Assumptions data'!$AA34</f>
        <v>368.63362886095831</v>
      </c>
      <c r="AF33" s="240">
        <f>'Supply calc &gt;&gt;&gt;'!O33*'Farms proportions'!AL34</f>
        <v>51977373.516996659</v>
      </c>
      <c r="AG33" s="118">
        <f>AF33/'National data'!$T35/'Assumptions data'!$AA34</f>
        <v>256.67838773825514</v>
      </c>
      <c r="AH33" s="178">
        <f>AE33*'National data'!V34+AG33*'National data'!X34</f>
        <v>297170.71653868014</v>
      </c>
      <c r="AI33" s="191">
        <f>'Supply calc &gt;&gt;&gt;'!Q33*'Farms proportions'!$AK34</f>
        <v>18564064.72805433</v>
      </c>
      <c r="AJ33" s="118">
        <f>AI33/'National data'!$S35/'Assumptions data'!$AA34</f>
        <v>353.60123291532057</v>
      </c>
      <c r="AK33" s="240">
        <f>'Supply calc &gt;&gt;&gt;'!Q33*'Farms proportions'!$AL34</f>
        <v>49857804.389958322</v>
      </c>
      <c r="AL33" s="118">
        <f>AK33/'National data'!$T35/'Assumptions data'!$AA34</f>
        <v>246.2113797034979</v>
      </c>
      <c r="AM33" s="178">
        <f>AJ33*'National data'!$V34+AL33*'National data'!$X34</f>
        <v>285052.48443852831</v>
      </c>
      <c r="AN33" s="191">
        <f>'Supply calc &gt;&gt;&gt;'!S33*'Farms proportions'!$AK34</f>
        <v>3097307.9296501633</v>
      </c>
      <c r="AO33" s="118">
        <f>AN33/'National data'!$S35/'Assumptions data'!$AA34</f>
        <v>58.996341517145972</v>
      </c>
      <c r="AP33" s="240">
        <f>'Supply calc &gt;&gt;&gt;'!S33*'Farms proportions'!$AL34</f>
        <v>8318489.250826356</v>
      </c>
      <c r="AQ33" s="118">
        <f>AP33/'National data'!$T35/'Assumptions data'!$AA34</f>
        <v>41.078959263340032</v>
      </c>
      <c r="AR33" s="178">
        <f>AO33*'National data'!$V34+AQ33*'National data'!$X34</f>
        <v>47559.375241979586</v>
      </c>
      <c r="AS33" s="191">
        <f>'Supply calc &gt;&gt;&gt;'!U33*'Farms proportions'!$AK34</f>
        <v>4177822.929008875</v>
      </c>
      <c r="AT33" s="118">
        <f>AS33/'National data'!$S35/'Assumptions data'!$AA34</f>
        <v>79.577579600169045</v>
      </c>
      <c r="AU33" s="240">
        <f>'Supply calc &gt;&gt;&gt;'!U33*'Farms proportions'!$AL34</f>
        <v>11220445.598620713</v>
      </c>
      <c r="AV33" s="118">
        <f>AU33/'National data'!$T35/'Assumptions data'!$AA34</f>
        <v>55.409607894423267</v>
      </c>
      <c r="AW33" s="178">
        <f>AT33*'National data'!$V34+AV33*'National data'!$X34</f>
        <v>64150.757008432673</v>
      </c>
      <c r="AX33" s="191">
        <f>'Supply calc &gt;&gt;&gt;'!W33*'Farms proportions'!$AK34</f>
        <v>62257.802929270707</v>
      </c>
      <c r="AY33" s="118">
        <f>AX33/'National data'!$S35/'Assumptions data'!$AA34</f>
        <v>1.1858629129384899</v>
      </c>
      <c r="AZ33" s="240">
        <f>'Supply calc &gt;&gt;&gt;'!W33*'Farms proportions'!$AL34</f>
        <v>167206.77317534233</v>
      </c>
      <c r="BA33" s="118">
        <f>AZ33/'National data'!$T35/'Assumptions data'!$AA34</f>
        <v>0.82571246012514732</v>
      </c>
      <c r="BB33" s="118">
        <f>AY33*'National data'!$V34+BA33*'National data'!$X34</f>
        <v>955.97282495216291</v>
      </c>
      <c r="BC33" s="78">
        <f>'Supply calc &gt;&gt;&gt;'!Y33*'Farms proportions'!AK34</f>
        <v>20584277.438446671</v>
      </c>
      <c r="BD33" s="234">
        <f>BC33/'National data'!$S35/'Assumptions data'!$AA34</f>
        <v>392.08147501803182</v>
      </c>
      <c r="BE33" s="118">
        <f>'Supply calc &gt;&gt;&gt;'!Y33*'Farms proportions'!AL34</f>
        <v>55283521.850888848</v>
      </c>
      <c r="BF33" s="234">
        <f>BE33/'National data'!$T35/'Assumptions data'!$AA34</f>
        <v>273.00504617722891</v>
      </c>
      <c r="BG33" s="235">
        <f>BD33*'National data'!$V34+BF33*'National data'!$X34</f>
        <v>316072.98887155642</v>
      </c>
      <c r="BH33" s="118">
        <f>'Supply calc &gt;&gt;&gt;'!F33*'National data'!Z35/1000000</f>
        <v>124290.79619373108</v>
      </c>
      <c r="BI33" s="192">
        <f>'Supply calc &gt;&gt;&gt;'!F33*Multipliers!E33</f>
        <v>18652097655.266602</v>
      </c>
      <c r="BJ33" s="247">
        <f>'Supply calc &gt;&gt;&gt;'!H33*'National data'!$Z35/1000000</f>
        <v>44441.668035854236</v>
      </c>
      <c r="BK33" s="229">
        <f>'Supply calc &gt;&gt;&gt;'!H33*Multipliers!$E33</f>
        <v>6669281697.0586166</v>
      </c>
      <c r="BL33" s="247">
        <f>'Supply calc &gt;&gt;&gt;'!J33*'National data'!$Z35/1000000</f>
        <v>19838.183094512558</v>
      </c>
      <c r="BM33" s="229">
        <f>'Supply calc &gt;&gt;&gt;'!J33*Multipliers!$E33</f>
        <v>2977080682.6690059</v>
      </c>
      <c r="BN33" s="247">
        <f>'Supply calc &gt;&gt;&gt;'!L33*'National data'!$Z35/1000000</f>
        <v>65910.440324605544</v>
      </c>
      <c r="BO33" s="229">
        <f>'Supply calc &gt;&gt;&gt;'!L33*Multipliers!$E33</f>
        <v>9891061985.9571762</v>
      </c>
      <c r="BP33" s="247">
        <f>'Supply calc &gt;&gt;&gt;'!N33*'National data'!$Z35/1000000</f>
        <v>757.94887900323033</v>
      </c>
      <c r="BQ33" s="229">
        <f>'Supply calc &gt;&gt;&gt;'!N33*Multipliers!$E33</f>
        <v>113744033.68397728</v>
      </c>
      <c r="BR33" s="118">
        <f>'Supply calc &gt;&gt;&gt;'!P33*'National data'!Z35/1000000</f>
        <v>18284.764375384031</v>
      </c>
      <c r="BS33" s="192">
        <f>'Supply calc &gt;&gt;&gt;'!P33*Multipliers!E33</f>
        <v>2743961911.7220235</v>
      </c>
      <c r="BT33" s="118">
        <f>'Supply calc &gt;&gt;&gt;'!R33*'National data'!$Z35/1000000</f>
        <v>17539.135663449186</v>
      </c>
      <c r="BU33" s="192">
        <f>'Supply calc &gt;&gt;&gt;'!R33*Multipliers!$E33</f>
        <v>2632066743.4916921</v>
      </c>
      <c r="BV33" s="118">
        <f>'Supply calc &gt;&gt;&gt;'!T33*'National data'!$Z35/1000000</f>
        <v>2926.3043824403189</v>
      </c>
      <c r="BW33" s="240">
        <f>'Supply calc &gt;&gt;&gt;'!T33*Multipliers!$E33</f>
        <v>439145268.85188967</v>
      </c>
      <c r="BX33" s="78">
        <f>'Supply calc &gt;&gt;&gt;'!V33*'National data'!$Z35/1000000</f>
        <v>3947.1637382851977</v>
      </c>
      <c r="BY33" s="192">
        <f>'Supply calc &gt;&gt;&gt;'!V33*Multipliers!$E33</f>
        <v>592343807.92820168</v>
      </c>
      <c r="BZ33" s="118">
        <f>'Supply calc &gt;&gt;&gt;'!X33*'National data'!$Z35/1000000</f>
        <v>58.820525982900321</v>
      </c>
      <c r="CA33" s="192">
        <f>'Supply calc &gt;&gt;&gt;'!X33*Multipliers!$E33</f>
        <v>8827091.2116221488</v>
      </c>
      <c r="CB33" s="234">
        <f>'Supply calc &gt;&gt;&gt;'!Z33*'National data'!$Z35/1000000</f>
        <v>19447.811662787251</v>
      </c>
      <c r="CC33" s="229">
        <f>'Supply calc &gt;&gt;&gt;'!Z33*Multipliers!$E33</f>
        <v>2918498339.5724392</v>
      </c>
    </row>
    <row r="34" spans="1:81">
      <c r="A34" s="9">
        <v>33</v>
      </c>
      <c r="B34" s="1" t="s">
        <v>474</v>
      </c>
      <c r="C34" s="1" t="s">
        <v>475</v>
      </c>
      <c r="D34" s="1">
        <v>1</v>
      </c>
      <c r="E34" s="191">
        <f>'Supply calc &gt;&gt;&gt;'!E34*'Farms proportions'!AK35</f>
        <v>103494028.3943152</v>
      </c>
      <c r="F34" s="118">
        <f>E34/'National data'!$S36/'Assumptions data'!$AA35</f>
        <v>1971.3148265583845</v>
      </c>
      <c r="G34" s="240">
        <f>'Supply calc &gt;&gt;&gt;'!E34*'Farms proportions'!AL35</f>
        <v>214013094.0882684</v>
      </c>
      <c r="H34" s="118">
        <f>G34/'National data'!$T36/'Assumptions data'!$AA35</f>
        <v>1056.8547856210785</v>
      </c>
      <c r="I34" s="118">
        <f>F34*'National data'!V36+H34*'National data'!X35</f>
        <v>1328335.7778579977</v>
      </c>
      <c r="J34" s="242">
        <f>'Supply calc &gt;&gt;&gt;'!G34*'Farms proportions'!$AK35</f>
        <v>27205486.484995723</v>
      </c>
      <c r="K34" s="234">
        <f>J34/'National data'!$S36/'Assumptions data'!$AA35</f>
        <v>518.1997425713472</v>
      </c>
      <c r="L34" s="230">
        <f>'Supply calc &gt;&gt;&gt;'!G34*'Farms proportions'!$AL35</f>
        <v>56257645.287970237</v>
      </c>
      <c r="M34" s="118">
        <f>L34/'National data'!$T36/'Assumptions data'!$AA35</f>
        <v>277.8155322862728</v>
      </c>
      <c r="N34" s="118">
        <f>K34*'National data'!$V36+M34*'National data'!$X35</f>
        <v>349179.77020244254</v>
      </c>
      <c r="O34" s="242">
        <f>'Supply calc &gt;&gt;&gt;'!I34*'Farms proportions'!$AK35</f>
        <v>21748132.366753183</v>
      </c>
      <c r="P34" s="234">
        <f>O34/'National data'!$S36/'Assumptions data'!$AA35</f>
        <v>414.25014031910825</v>
      </c>
      <c r="Q34" s="230">
        <f>'Supply calc &gt;&gt;&gt;'!I34*'Farms proportions'!$AL35</f>
        <v>44972499.096437961</v>
      </c>
      <c r="R34" s="118">
        <f>Q34/'National data'!$T36/'Assumptions data'!$AA35</f>
        <v>222.08641529105165</v>
      </c>
      <c r="S34" s="118">
        <f>P34*'National data'!$V36+R34*'National data'!$X35</f>
        <v>279135.16144412267</v>
      </c>
      <c r="T34" s="242">
        <f>'Supply calc &gt;&gt;&gt;'!K34*'Farms proportions'!$AK35</f>
        <v>55782170.591899946</v>
      </c>
      <c r="U34" s="234">
        <f>T34/'National data'!$S36/'Assumptions data'!$AA35</f>
        <v>1062.5175350838085</v>
      </c>
      <c r="V34" s="230">
        <f>'Supply calc &gt;&gt;&gt;'!K34*'Farms proportions'!$AL35</f>
        <v>115350760.8946051</v>
      </c>
      <c r="W34" s="118">
        <f>V34/'National data'!$T36/'Assumptions data'!$AA35</f>
        <v>569.63338713385235</v>
      </c>
      <c r="X34" s="118">
        <f>U34*'National data'!$V36+W34*'National data'!$X35</f>
        <v>715958.72837692173</v>
      </c>
      <c r="Y34" s="242">
        <f>'Supply calc &gt;&gt;&gt;'!M34*'Farms proportions'!$AK35</f>
        <v>3128602.458354102</v>
      </c>
      <c r="Z34" s="234">
        <f>Y34/'National data'!$S36/'Assumptions data'!$AA35</f>
        <v>59.592427778173374</v>
      </c>
      <c r="AA34" s="230">
        <f>'Supply calc &gt;&gt;&gt;'!M34*'Farms proportions'!$AL35</f>
        <v>6469570.2995874733</v>
      </c>
      <c r="AB34" s="118">
        <f>AA34/'National data'!$T36/'Assumptions data'!$AA35</f>
        <v>31.948495306604805</v>
      </c>
      <c r="AC34" s="118">
        <f>Z34*'National data'!$V36+AB34*'National data'!$X35</f>
        <v>40155.307940013619</v>
      </c>
      <c r="AD34" s="191">
        <f>'Supply calc &gt;&gt;&gt;'!O34*'Farms proportions'!AK35</f>
        <v>30901125.258733578</v>
      </c>
      <c r="AE34" s="118">
        <f>AD34/'National data'!$S36/'Assumptions data'!$AA35</f>
        <v>588.59286207111586</v>
      </c>
      <c r="AF34" s="240">
        <f>'Supply calc &gt;&gt;&gt;'!O34*'Farms proportions'!AL35</f>
        <v>63899777.890894957</v>
      </c>
      <c r="AG34" s="118">
        <f>AF34/'National data'!$T36/'Assumptions data'!$AA35</f>
        <v>315.55445872046897</v>
      </c>
      <c r="AH34" s="178">
        <f>AE34*'National data'!V35+AG34*'National data'!X35</f>
        <v>396612.93404153513</v>
      </c>
      <c r="AI34" s="191">
        <f>'Supply calc &gt;&gt;&gt;'!Q34*'Farms proportions'!$AK35</f>
        <v>22927148.629838999</v>
      </c>
      <c r="AJ34" s="118">
        <f>AI34/'National data'!$S36/'Assumptions data'!$AA35</f>
        <v>436.70759294931429</v>
      </c>
      <c r="AK34" s="240">
        <f>'Supply calc &gt;&gt;&gt;'!Q34*'Farms proportions'!$AL35</f>
        <v>47410561.681865767</v>
      </c>
      <c r="AL34" s="118">
        <f>AK34/'National data'!$T36/'Assumptions data'!$AA35</f>
        <v>234.12623052773219</v>
      </c>
      <c r="AM34" s="178">
        <f>AJ34*'National data'!$V35+AL34*'National data'!$X35</f>
        <v>294267.72038719838</v>
      </c>
      <c r="AN34" s="191">
        <f>'Supply calc &gt;&gt;&gt;'!S34*'Farms proportions'!$AK35</f>
        <v>6246341.7137278169</v>
      </c>
      <c r="AO34" s="118">
        <f>AN34/'National data'!$S36/'Assumptions data'!$AA35</f>
        <v>118.97793740433939</v>
      </c>
      <c r="AP34" s="240">
        <f>'Supply calc &gt;&gt;&gt;'!S34*'Farms proportions'!$AL35</f>
        <v>12916676.81341251</v>
      </c>
      <c r="AQ34" s="118">
        <f>AP34/'National data'!$T36/'Assumptions data'!$AA35</f>
        <v>63.786058337839556</v>
      </c>
      <c r="AR34" s="178">
        <f>AO34*'National data'!$V35+AQ34*'National data'!$X35</f>
        <v>80171.187727457873</v>
      </c>
      <c r="AS34" s="191">
        <f>'Supply calc &gt;&gt;&gt;'!U34*'Farms proportions'!$AK35</f>
        <v>8124120.8432169268</v>
      </c>
      <c r="AT34" s="118">
        <f>AS34/'National data'!$S36/'Assumptions data'!$AA35</f>
        <v>154.74515891841767</v>
      </c>
      <c r="AU34" s="240">
        <f>'Supply calc &gt;&gt;&gt;'!U34*'Farms proportions'!$AL35</f>
        <v>16799696.227684472</v>
      </c>
      <c r="AV34" s="118">
        <f>AU34/'National data'!$T36/'Assumptions data'!$AA35</f>
        <v>82.961462852762835</v>
      </c>
      <c r="AW34" s="178">
        <f>AT34*'National data'!$V35+AV34*'National data'!$X35</f>
        <v>104272.30002653658</v>
      </c>
      <c r="AX34" s="191">
        <f>'Supply calc &gt;&gt;&gt;'!W34*'Farms proportions'!$AK35</f>
        <v>503505.40806568624</v>
      </c>
      <c r="AY34" s="118">
        <f>AX34/'National data'!$S36/'Assumptions data'!$AA35</f>
        <v>9.5905792012511668</v>
      </c>
      <c r="AZ34" s="240">
        <f>'Supply calc &gt;&gt;&gt;'!W34*'Farms proportions'!$AL35</f>
        <v>1041188.0950247429</v>
      </c>
      <c r="BA34" s="118">
        <f>AZ34/'National data'!$T36/'Assumptions data'!$AA35</f>
        <v>5.1416696050604589</v>
      </c>
      <c r="BB34" s="118">
        <f>AY34*'National data'!$V35+BA34*'National data'!$X35</f>
        <v>6462.4428892689584</v>
      </c>
      <c r="BC34" s="78">
        <f>'Supply calc &gt;&gt;&gt;'!Y34*'Farms proportions'!AK35</f>
        <v>24865871.622126892</v>
      </c>
      <c r="BD34" s="234">
        <f>BC34/'National data'!$S36/'Assumptions data'!$AA35</f>
        <v>473.63564994527417</v>
      </c>
      <c r="BE34" s="118">
        <f>'Supply calc &gt;&gt;&gt;'!Y34*'Farms proportions'!AL35</f>
        <v>51419605.610262983</v>
      </c>
      <c r="BF34" s="234">
        <f>BE34/'National data'!$T36/'Assumptions data'!$AA35</f>
        <v>253.92397832228636</v>
      </c>
      <c r="BG34" s="235">
        <f>BD34*'National data'!$V35+BF34*'National data'!$X35</f>
        <v>319151.04123156687</v>
      </c>
      <c r="BH34" s="118">
        <f>'Supply calc &gt;&gt;&gt;'!F34*'National data'!Z36/1000000</f>
        <v>71371.530846503039</v>
      </c>
      <c r="BI34" s="192">
        <f>'Supply calc &gt;&gt;&gt;'!F34*Multipliers!E34</f>
        <v>10710598080.648479</v>
      </c>
      <c r="BJ34" s="247">
        <f>'Supply calc &gt;&gt;&gt;'!H34*'National data'!$Z36/1000000</f>
        <v>18761.44206562404</v>
      </c>
      <c r="BK34" s="229">
        <f>'Supply calc &gt;&gt;&gt;'!H34*Multipliers!$E34</f>
        <v>2815496080.7894197</v>
      </c>
      <c r="BL34" s="247">
        <f>'Supply calc &gt;&gt;&gt;'!J34*'National data'!$Z36/1000000</f>
        <v>14997.942626734362</v>
      </c>
      <c r="BM34" s="229">
        <f>'Supply calc &gt;&gt;&gt;'!J34*Multipliers!$E34</f>
        <v>2250714446.0310779</v>
      </c>
      <c r="BN34" s="247">
        <f>'Supply calc &gt;&gt;&gt;'!L34*'National data'!$Z36/1000000</f>
        <v>38468.489156842683</v>
      </c>
      <c r="BO34" s="229">
        <f>'Supply calc &gt;&gt;&gt;'!L34*Multipliers!$E34</f>
        <v>5772897417.8072243</v>
      </c>
      <c r="BP34" s="247">
        <f>'Supply calc &gt;&gt;&gt;'!N34*'National data'!$Z36/1000000</f>
        <v>2157.5461920576886</v>
      </c>
      <c r="BQ34" s="229">
        <f>'Supply calc &gt;&gt;&gt;'!N34*Multipliers!$E34</f>
        <v>323779101.12734759</v>
      </c>
      <c r="BR34" s="118">
        <f>'Supply calc &gt;&gt;&gt;'!P34*'National data'!Z36/1000000</f>
        <v>10792.426391967298</v>
      </c>
      <c r="BS34" s="192">
        <f>'Supply calc &gt;&gt;&gt;'!P34*Multipliers!E34</f>
        <v>1619600140.6772211</v>
      </c>
      <c r="BT34" s="118">
        <f>'Supply calc &gt;&gt;&gt;'!R34*'National data'!$Z36/1000000</f>
        <v>8007.4612783007806</v>
      </c>
      <c r="BU34" s="192">
        <f>'Supply calc &gt;&gt;&gt;'!R34*Multipliers!$E34</f>
        <v>1201665403.2920682</v>
      </c>
      <c r="BV34" s="118">
        <f>'Supply calc &gt;&gt;&gt;'!T34*'National data'!$Z36/1000000</f>
        <v>2181.5769684772035</v>
      </c>
      <c r="BW34" s="240">
        <f>'Supply calc &gt;&gt;&gt;'!T34*Multipliers!$E34</f>
        <v>327385356.79739755</v>
      </c>
      <c r="BX34" s="78">
        <f>'Supply calc &gt;&gt;&gt;'!V34*'National data'!$Z36/1000000</f>
        <v>2837.4039930822678</v>
      </c>
      <c r="BY34" s="192">
        <f>'Supply calc &gt;&gt;&gt;'!V34*Multipliers!$E34</f>
        <v>425804146.30156821</v>
      </c>
      <c r="BZ34" s="118">
        <f>'Supply calc &gt;&gt;&gt;'!X34*'National data'!$Z36/1000000</f>
        <v>175.85265937752715</v>
      </c>
      <c r="CA34" s="192">
        <f>'Supply calc &gt;&gt;&gt;'!X34*Multipliers!$E34</f>
        <v>26389894.313135047</v>
      </c>
      <c r="CB34" s="234">
        <f>'Supply calc &gt;&gt;&gt;'!Z34*'National data'!$Z36/1000000</f>
        <v>8684.5733579901134</v>
      </c>
      <c r="CC34" s="229">
        <f>'Supply calc &gt;&gt;&gt;'!Z34*Multipliers!$E34</f>
        <v>1303278402.9725955</v>
      </c>
    </row>
    <row r="35" spans="1:81">
      <c r="A35" s="9">
        <v>34</v>
      </c>
      <c r="B35" s="1" t="s">
        <v>479</v>
      </c>
      <c r="C35" s="1" t="s">
        <v>480</v>
      </c>
      <c r="D35" s="1">
        <v>0</v>
      </c>
      <c r="E35" s="191">
        <f>'Supply calc &gt;&gt;&gt;'!E35*'Farms proportions'!AK36</f>
        <v>480998.04701211338</v>
      </c>
      <c r="F35" s="118">
        <f>E35/'National data'!$S37/'Assumptions data'!$AA36</f>
        <v>9.1618675621354928</v>
      </c>
      <c r="G35" s="240">
        <f>'Supply calc &gt;&gt;&gt;'!E35*'Farms proportions'!AL36</f>
        <v>1468031.8596282678</v>
      </c>
      <c r="H35" s="118">
        <f>G35/'National data'!$T37/'Assumptions data'!$AA36</f>
        <v>7.2495400475470024</v>
      </c>
      <c r="I35" s="118">
        <f>F35*'National data'!V37+H35*'National data'!X36</f>
        <v>8104.5114861271231</v>
      </c>
      <c r="J35" s="242">
        <f>'Supply calc &gt;&gt;&gt;'!G35*'Farms proportions'!$AK36</f>
        <v>56478.077168905824</v>
      </c>
      <c r="K35" s="234">
        <f>J35/'National data'!$S37/'Assumptions data'!$AA36</f>
        <v>1.0757728984553492</v>
      </c>
      <c r="L35" s="230">
        <f>'Supply calc &gt;&gt;&gt;'!G35*'Farms proportions'!$AL36</f>
        <v>172374.12328289472</v>
      </c>
      <c r="M35" s="118">
        <f>L35/'National data'!$T37/'Assumptions data'!$AA36</f>
        <v>0.8512302384340481</v>
      </c>
      <c r="N35" s="118">
        <f>K35*'National data'!$V37+M35*'National data'!$X36</f>
        <v>951.61971648970939</v>
      </c>
      <c r="O35" s="242">
        <f>'Supply calc &gt;&gt;&gt;'!I35*'Farms proportions'!$AK36</f>
        <v>60365.451963183565</v>
      </c>
      <c r="P35" s="234">
        <f>O35/'National data'!$S37/'Assumptions data'!$AA36</f>
        <v>1.149818132632068</v>
      </c>
      <c r="Q35" s="230">
        <f>'Supply calc &gt;&gt;&gt;'!I35*'Farms proportions'!$AL36</f>
        <v>184238.59983070052</v>
      </c>
      <c r="R35" s="118">
        <f>Q35/'National data'!$T37/'Assumptions data'!$AA36</f>
        <v>0.90982024607753342</v>
      </c>
      <c r="S35" s="118">
        <f>P35*'National data'!$V37+R35*'National data'!$X36</f>
        <v>1017.1195118980504</v>
      </c>
      <c r="T35" s="242">
        <f>'Supply calc &gt;&gt;&gt;'!K35*'Farms proportions'!$AK36</f>
        <v>274707.80899944424</v>
      </c>
      <c r="U35" s="234">
        <f>T35/'National data'!$S37/'Assumptions data'!$AA36</f>
        <v>5.2325296952275098</v>
      </c>
      <c r="V35" s="230">
        <f>'Supply calc &gt;&gt;&gt;'!K35*'Farms proportions'!$AL36</f>
        <v>838422.97947980033</v>
      </c>
      <c r="W35" s="118">
        <f>V35/'National data'!$T37/'Assumptions data'!$AA36</f>
        <v>4.1403603924928412</v>
      </c>
      <c r="X35" s="118">
        <f>U35*'National data'!$V37+W35*'National data'!$X36</f>
        <v>4628.6520437966419</v>
      </c>
      <c r="Y35" s="242">
        <f>'Supply calc &gt;&gt;&gt;'!M35*'Farms proportions'!$AK36</f>
        <v>15138.229254211739</v>
      </c>
      <c r="Z35" s="234">
        <f>Y35/'National data'!$S37/'Assumptions data'!$AA36</f>
        <v>0.28834722388974743</v>
      </c>
      <c r="AA35" s="230">
        <f>'Supply calc &gt;&gt;&gt;'!M35*'Farms proportions'!$AL36</f>
        <v>46202.688309418088</v>
      </c>
      <c r="AB35" s="118">
        <f>AA35/'National data'!$T37/'Assumptions data'!$AA36</f>
        <v>0.22816142375021281</v>
      </c>
      <c r="AC35" s="118">
        <f>Z35*'National data'!$V37+AB35*'National data'!$X36</f>
        <v>255.06954473620743</v>
      </c>
      <c r="AD35" s="191">
        <f>'Supply calc &gt;&gt;&gt;'!O35*'Farms proportions'!AK36</f>
        <v>126628.73974998604</v>
      </c>
      <c r="AE35" s="118">
        <f>AD35/'National data'!$S37/'Assumptions data'!$AA36</f>
        <v>2.4119759952378295</v>
      </c>
      <c r="AF35" s="240">
        <f>'Supply calc &gt;&gt;&gt;'!O35*'Farms proportions'!AL36</f>
        <v>386477.7111930236</v>
      </c>
      <c r="AG35" s="118">
        <f>AF35/'National data'!$T37/'Assumptions data'!$AA36</f>
        <v>1.9085319071260425</v>
      </c>
      <c r="AH35" s="178">
        <f>AE35*'National data'!V36+AG35*'National data'!X36</f>
        <v>2133.6138101860497</v>
      </c>
      <c r="AI35" s="191">
        <f>'Supply calc &gt;&gt;&gt;'!Q35*'Farms proportions'!$AK36</f>
        <v>62366.201834676016</v>
      </c>
      <c r="AJ35" s="118">
        <f>AI35/'National data'!$S37/'Assumptions data'!$AA36</f>
        <v>1.1879276539938288</v>
      </c>
      <c r="AK35" s="240">
        <f>'Supply calc &gt;&gt;&gt;'!Q35*'Farms proportions'!$AL36</f>
        <v>190344.99583946459</v>
      </c>
      <c r="AL35" s="118">
        <f>AK35/'National data'!$T37/'Assumptions data'!$AA36</f>
        <v>0.93997528809612152</v>
      </c>
      <c r="AM35" s="178">
        <f>AJ35*'National data'!$V36+AL35*'National data'!$X36</f>
        <v>1050.8308760399709</v>
      </c>
      <c r="AN35" s="191">
        <f>'Supply calc &gt;&gt;&gt;'!S35*'Farms proportions'!$AK36</f>
        <v>20986.635655542043</v>
      </c>
      <c r="AO35" s="118">
        <f>AN35/'National data'!$S37/'Assumptions data'!$AA36</f>
        <v>0.39974544105794368</v>
      </c>
      <c r="AP35" s="240">
        <f>'Supply calc &gt;&gt;&gt;'!S35*'Farms proportions'!$AL36</f>
        <v>64052.338590826759</v>
      </c>
      <c r="AQ35" s="118">
        <f>AP35/'National data'!$T37/'Assumptions data'!$AA36</f>
        <v>0.31630784489297165</v>
      </c>
      <c r="AR35" s="178">
        <f>AO35*'National data'!$V36+AQ35*'National data'!$X36</f>
        <v>353.6114767659796</v>
      </c>
      <c r="AS35" s="191">
        <f>'Supply calc &gt;&gt;&gt;'!U35*'Farms proportions'!$AK36</f>
        <v>34558.507935135662</v>
      </c>
      <c r="AT35" s="118">
        <f>AS35/'National data'!$S37/'Assumptions data'!$AA36</f>
        <v>0.65825729400258404</v>
      </c>
      <c r="AU35" s="240">
        <f>'Supply calc &gt;&gt;&gt;'!U35*'Farms proportions'!$AL36</f>
        <v>105474.4213311074</v>
      </c>
      <c r="AV35" s="118">
        <f>AU35/'National data'!$T37/'Assumptions data'!$AA36</f>
        <v>0.52086133990670325</v>
      </c>
      <c r="AW35" s="178">
        <f>AT35*'National data'!$V36+AV35*'National data'!$X36</f>
        <v>582.28890167753377</v>
      </c>
      <c r="AX35" s="191">
        <f>'Supply calc &gt;&gt;&gt;'!W35*'Farms proportions'!$AK36</f>
        <v>1959.0504722914698</v>
      </c>
      <c r="AY35" s="118">
        <f>AX35/'National data'!$S37/'Assumptions data'!$AA36</f>
        <v>3.7315247091266095E-2</v>
      </c>
      <c r="AZ35" s="240">
        <f>'Supply calc &gt;&gt;&gt;'!W35*'Farms proportions'!$AL36</f>
        <v>5979.1272039640007</v>
      </c>
      <c r="BA35" s="118">
        <f>AZ35/'National data'!$T37/'Assumptions data'!$AA36</f>
        <v>2.9526554093649387E-2</v>
      </c>
      <c r="BB35" s="118">
        <f>AY35*'National data'!$V36+BA35*'National data'!$X36</f>
        <v>33.008755759436866</v>
      </c>
      <c r="BC35" s="78">
        <f>'Supply calc &gt;&gt;&gt;'!Y35*'Farms proportions'!AK36</f>
        <v>84089.633319819768</v>
      </c>
      <c r="BD35" s="234">
        <f>BC35/'National data'!$S37/'Assumptions data'!$AA36</f>
        <v>1.6017073013299004</v>
      </c>
      <c r="BE35" s="118">
        <f>'Supply calc &gt;&gt;&gt;'!Y35*'Farms proportions'!AL36</f>
        <v>256646.0748536996</v>
      </c>
      <c r="BF35" s="234">
        <f>BE35/'National data'!$T37/'Assumptions data'!$AA36</f>
        <v>1.2673880239688871</v>
      </c>
      <c r="BG35" s="235">
        <f>BD35*'National data'!$V36+BF35*'National data'!$X36</f>
        <v>1416.8568944055075</v>
      </c>
      <c r="BH35" s="118">
        <f>'Supply calc &gt;&gt;&gt;'!F35*'National data'!Z37/1000000</f>
        <v>5580.8851908668776</v>
      </c>
      <c r="BI35" s="192">
        <f>'Supply calc &gt;&gt;&gt;'!F35*Multipliers!E35</f>
        <v>723307084.76446569</v>
      </c>
      <c r="BJ35" s="247">
        <f>'Supply calc &gt;&gt;&gt;'!H35*'National data'!$Z37/1000000</f>
        <v>655.29926044095839</v>
      </c>
      <c r="BK35" s="229">
        <f>'Supply calc &gt;&gt;&gt;'!H35*Multipliers!$E35</f>
        <v>84929644.941188321</v>
      </c>
      <c r="BL35" s="247">
        <f>'Supply calc &gt;&gt;&gt;'!J35*'National data'!$Z37/1000000</f>
        <v>700.40337792230753</v>
      </c>
      <c r="BM35" s="229">
        <f>'Supply calc &gt;&gt;&gt;'!J35*Multipliers!$E35</f>
        <v>90775335.474241748</v>
      </c>
      <c r="BN35" s="247">
        <f>'Supply calc &gt;&gt;&gt;'!L35*'National data'!$Z37/1000000</f>
        <v>3187.3575216863114</v>
      </c>
      <c r="BO35" s="229">
        <f>'Supply calc &gt;&gt;&gt;'!L35*Multipliers!$E35</f>
        <v>413095449.60463786</v>
      </c>
      <c r="BP35" s="247">
        <f>'Supply calc &gt;&gt;&gt;'!N35*'National data'!$Z37/1000000</f>
        <v>175.64462056672423</v>
      </c>
      <c r="BQ35" s="229">
        <f>'Supply calc &gt;&gt;&gt;'!N35*Multipliers!$E35</f>
        <v>22764309.623245295</v>
      </c>
      <c r="BR35" s="118">
        <f>'Supply calc &gt;&gt;&gt;'!P35*'National data'!Z37/1000000</f>
        <v>744.0928656246615</v>
      </c>
      <c r="BS35" s="192">
        <f>'Supply calc &gt;&gt;&gt;'!P35*Multipliers!E35</f>
        <v>96437683.812200308</v>
      </c>
      <c r="BT35" s="118">
        <f>'Supply calc &gt;&gt;&gt;'!R35*'National data'!$Z37/1000000</f>
        <v>366.47482974965965</v>
      </c>
      <c r="BU35" s="192">
        <f>'Supply calc &gt;&gt;&gt;'!R35*Multipliers!$E35</f>
        <v>47496737.82567212</v>
      </c>
      <c r="BV35" s="118">
        <f>'Supply calc &gt;&gt;&gt;'!T35*'National data'!$Z37/1000000</f>
        <v>123.32118202854255</v>
      </c>
      <c r="BW35" s="240">
        <f>'Supply calc &gt;&gt;&gt;'!T35*Multipliers!$E35</f>
        <v>15982963.564408652</v>
      </c>
      <c r="BX35" s="78">
        <f>'Supply calc &gt;&gt;&gt;'!V35*'National data'!$Z37/1000000</f>
        <v>203.0719033604733</v>
      </c>
      <c r="BY35" s="192">
        <f>'Supply calc &gt;&gt;&gt;'!V35*Multipliers!$E35</f>
        <v>26319005.210429691</v>
      </c>
      <c r="BZ35" s="118">
        <f>'Supply calc &gt;&gt;&gt;'!X35*'National data'!$Z37/1000000</f>
        <v>11.511726980058388</v>
      </c>
      <c r="CA35" s="192">
        <f>'Supply calc &gt;&gt;&gt;'!X35*Multipliers!$E35</f>
        <v>1491970.0724495861</v>
      </c>
      <c r="CB35" s="234">
        <f>'Supply calc &gt;&gt;&gt;'!Z35*'National data'!$Z37/1000000</f>
        <v>494.12555435527497</v>
      </c>
      <c r="CC35" s="229">
        <f>'Supply calc &gt;&gt;&gt;'!Z35*Multipliers!$E35</f>
        <v>64040829.009210259</v>
      </c>
    </row>
    <row r="36" spans="1:81">
      <c r="A36" s="9">
        <v>35</v>
      </c>
      <c r="B36" s="1" t="s">
        <v>484</v>
      </c>
      <c r="C36" s="1" t="s">
        <v>485</v>
      </c>
      <c r="D36" s="1">
        <v>0</v>
      </c>
      <c r="E36" s="191">
        <f>'Supply calc &gt;&gt;&gt;'!E36*'Farms proportions'!AK37</f>
        <v>172229036.27031583</v>
      </c>
      <c r="F36" s="118">
        <f>E36/'National data'!$S38/'Assumptions data'!$AA37</f>
        <v>3280.5530718155396</v>
      </c>
      <c r="G36" s="240">
        <f>'Supply calc &gt;&gt;&gt;'!E36*'Farms proportions'!AL37</f>
        <v>282405882.49580884</v>
      </c>
      <c r="H36" s="118">
        <f>G36/'National data'!$T38/'Assumptions data'!$AA37</f>
        <v>1394.596950596587</v>
      </c>
      <c r="I36" s="118">
        <f>F36*'National data'!V38+H36*'National data'!X37</f>
        <v>1909744.8407821706</v>
      </c>
      <c r="J36" s="242">
        <f>'Supply calc &gt;&gt;&gt;'!G36*'Farms proportions'!$AK37</f>
        <v>47588787.124972336</v>
      </c>
      <c r="K36" s="234">
        <f>J36/'National data'!$S38/'Assumptions data'!$AA37</f>
        <v>906.45308809471112</v>
      </c>
      <c r="L36" s="230">
        <f>'Supply calc &gt;&gt;&gt;'!G36*'Farms proportions'!$AL37</f>
        <v>78031868.005344629</v>
      </c>
      <c r="M36" s="118">
        <f>L36/'National data'!$T38/'Assumptions data'!$AA37</f>
        <v>385.34255805108461</v>
      </c>
      <c r="N36" s="118">
        <f>K36*'National data'!$V38+M36*'National data'!$X37</f>
        <v>527683.61630007415</v>
      </c>
      <c r="O36" s="242">
        <f>'Supply calc &gt;&gt;&gt;'!I36*'Farms proportions'!$AK37</f>
        <v>33181413.684236344</v>
      </c>
      <c r="P36" s="234">
        <f>O36/'National data'!$S38/'Assumptions data'!$AA37</f>
        <v>632.02692731878744</v>
      </c>
      <c r="Q36" s="230">
        <f>'Supply calc &gt;&gt;&gt;'!I36*'Farms proportions'!$AL37</f>
        <v>54407936.181260094</v>
      </c>
      <c r="R36" s="118">
        <f>Q36/'National data'!$T38/'Assumptions data'!$AA37</f>
        <v>268.68116632721035</v>
      </c>
      <c r="S36" s="118">
        <f>P36*'National data'!$V38+R36*'National data'!$X37</f>
        <v>367928.86359691562</v>
      </c>
      <c r="T36" s="242">
        <f>'Supply calc &gt;&gt;&gt;'!K36*'Farms proportions'!$AK37</f>
        <v>94266767.817804262</v>
      </c>
      <c r="U36" s="234">
        <f>T36/'National data'!$S38/'Assumptions data'!$AA37</f>
        <v>1795.5574822438909</v>
      </c>
      <c r="V36" s="230">
        <f>'Supply calc &gt;&gt;&gt;'!K36*'Farms proportions'!$AL37</f>
        <v>154570276.48829049</v>
      </c>
      <c r="W36" s="118">
        <f>V36/'National data'!$T38/'Assumptions data'!$AA37</f>
        <v>763.31000734958263</v>
      </c>
      <c r="X36" s="118">
        <f>U36*'National data'!$V38+W36*'National data'!$X37</f>
        <v>1045267.8444690941</v>
      </c>
      <c r="Y36" s="242">
        <f>'Supply calc &gt;&gt;&gt;'!M36*'Farms proportions'!$AK37</f>
        <v>1117811.4458551325</v>
      </c>
      <c r="Z36" s="234">
        <f>Y36/'National data'!$S38/'Assumptions data'!$AA37</f>
        <v>21.291646587716812</v>
      </c>
      <c r="AA36" s="230">
        <f>'Supply calc &gt;&gt;&gt;'!M36*'Farms proportions'!$AL37</f>
        <v>1832887.9651580709</v>
      </c>
      <c r="AB36" s="118">
        <f>AA36/'National data'!$T38/'Assumptions data'!$AA37</f>
        <v>9.0512985933731898</v>
      </c>
      <c r="AC36" s="118">
        <f>Z36*'National data'!$V38+AB36*'National data'!$X37</f>
        <v>12394.742999888838</v>
      </c>
      <c r="AD36" s="191">
        <f>'Supply calc &gt;&gt;&gt;'!O36*'Farms proportions'!AK37</f>
        <v>52917943.674402788</v>
      </c>
      <c r="AE36" s="118">
        <f>AD36/'National data'!$S38/'Assumptions data'!$AA37</f>
        <v>1007.9608318933864</v>
      </c>
      <c r="AF36" s="240">
        <f>'Supply calc &gt;&gt;&gt;'!O36*'Farms proportions'!AL37</f>
        <v>86770145.771343008</v>
      </c>
      <c r="AG36" s="118">
        <f>AF36/'National data'!$T38/'Assumptions data'!$AA37</f>
        <v>428.49454701897781</v>
      </c>
      <c r="AH36" s="178">
        <f>AE36*'National data'!V37+AG36*'National data'!X37</f>
        <v>586775.44800504798</v>
      </c>
      <c r="AI36" s="191">
        <f>'Supply calc &gt;&gt;&gt;'!Q36*'Farms proportions'!$AK37</f>
        <v>37983856.288115926</v>
      </c>
      <c r="AJ36" s="118">
        <f>AI36/'National data'!$S38/'Assumptions data'!$AA37</f>
        <v>723.50202453554152</v>
      </c>
      <c r="AK36" s="240">
        <f>'Supply calc &gt;&gt;&gt;'!Q36*'Farms proportions'!$AL37</f>
        <v>62282555.183107428</v>
      </c>
      <c r="AL36" s="118">
        <f>AK36/'National data'!$T38/'Assumptions data'!$AA37</f>
        <v>307.56817374374037</v>
      </c>
      <c r="AM36" s="178">
        <f>AJ36*'National data'!$V37+AL36*'National data'!$X37</f>
        <v>421180.27918003965</v>
      </c>
      <c r="AN36" s="191">
        <f>'Supply calc &gt;&gt;&gt;'!S36*'Farms proportions'!$AK37</f>
        <v>12846286.035480596</v>
      </c>
      <c r="AO36" s="118">
        <f>AN36/'National data'!$S38/'Assumptions data'!$AA37</f>
        <v>244.69116258058278</v>
      </c>
      <c r="AP36" s="240">
        <f>'Supply calc &gt;&gt;&gt;'!S36*'Farms proportions'!$AL37</f>
        <v>21064199.296508268</v>
      </c>
      <c r="AQ36" s="118">
        <f>AP36/'National data'!$T38/'Assumptions data'!$AA37</f>
        <v>104.0207372667075</v>
      </c>
      <c r="AR36" s="178">
        <f>AO36*'National data'!$V37+AQ36*'National data'!$X37</f>
        <v>142444.787538415</v>
      </c>
      <c r="AS36" s="191">
        <f>'Supply calc &gt;&gt;&gt;'!U36*'Farms proportions'!$AK37</f>
        <v>11124803.912676813</v>
      </c>
      <c r="AT36" s="118">
        <f>AS36/'National data'!$S38/'Assumptions data'!$AA37</f>
        <v>211.90102690812978</v>
      </c>
      <c r="AU36" s="240">
        <f>'Supply calc &gt;&gt;&gt;'!U36*'Farms proportions'!$AL37</f>
        <v>18241465.751578417</v>
      </c>
      <c r="AV36" s="118">
        <f>AU36/'National data'!$T38/'Assumptions data'!$AA37</f>
        <v>90.081312353473663</v>
      </c>
      <c r="AW36" s="178">
        <f>AT36*'National data'!$V37+AV36*'National data'!$X37</f>
        <v>123356.30121974723</v>
      </c>
      <c r="AX36" s="191">
        <f>'Supply calc &gt;&gt;&gt;'!W36*'Farms proportions'!$AK37</f>
        <v>415332.33679419127</v>
      </c>
      <c r="AY36" s="118">
        <f>AX36/'National data'!$S38/'Assumptions data'!$AA37</f>
        <v>7.9110921294131664</v>
      </c>
      <c r="AZ36" s="240">
        <f>'Supply calc &gt;&gt;&gt;'!W36*'Farms proportions'!$AL37</f>
        <v>681025.09101495659</v>
      </c>
      <c r="BA36" s="118">
        <f>AZ36/'National data'!$T38/'Assumptions data'!$AA37</f>
        <v>3.3630868692096625</v>
      </c>
      <c r="BB36" s="118">
        <f>AY36*'National data'!$V37+BA36*'National data'!$X37</f>
        <v>4605.3720358616229</v>
      </c>
      <c r="BC36" s="78">
        <f>'Supply calc &gt;&gt;&gt;'!Y36*'Farms proportions'!AK37</f>
        <v>39744406.963738047</v>
      </c>
      <c r="BD36" s="234">
        <f>BC36/'National data'!$S38/'Assumptions data'!$AA37</f>
        <v>757.03632311881995</v>
      </c>
      <c r="BE36" s="118">
        <f>'Supply calc &gt;&gt;&gt;'!Y36*'Farms proportions'!AL37</f>
        <v>65169349.872286968</v>
      </c>
      <c r="BF36" s="234">
        <f>BE36/'National data'!$T38/'Assumptions data'!$AA37</f>
        <v>321.82394998660237</v>
      </c>
      <c r="BG36" s="235">
        <f>BD36*'National data'!$V37+BF36*'National data'!$X37</f>
        <v>440701.97332938097</v>
      </c>
      <c r="BH36" s="118">
        <f>'Supply calc &gt;&gt;&gt;'!F36*'National data'!Z38/1000000</f>
        <v>98790.317936295396</v>
      </c>
      <c r="BI36" s="192">
        <f>'Supply calc &gt;&gt;&gt;'!F36*Multipliers!E36</f>
        <v>14151409799.878605</v>
      </c>
      <c r="BJ36" s="247">
        <f>'Supply calc &gt;&gt;&gt;'!H36*'National data'!$Z38/1000000</f>
        <v>27296.857208792175</v>
      </c>
      <c r="BK36" s="229">
        <f>'Supply calc &gt;&gt;&gt;'!H36*Multipliers!$E36</f>
        <v>3910191005.3522215</v>
      </c>
      <c r="BL36" s="247">
        <f>'Supply calc &gt;&gt;&gt;'!J36*'National data'!$Z38/1000000</f>
        <v>19032.809324303376</v>
      </c>
      <c r="BM36" s="229">
        <f>'Supply calc &gt;&gt;&gt;'!J36*Multipliers!$E36</f>
        <v>2726391513.0311794</v>
      </c>
      <c r="BN36" s="247">
        <f>'Supply calc &gt;&gt;&gt;'!L36*'National data'!$Z38/1000000</f>
        <v>54071.277208632244</v>
      </c>
      <c r="BO36" s="229">
        <f>'Supply calc &gt;&gt;&gt;'!L36*Multipliers!$E36</f>
        <v>7745544484.1833363</v>
      </c>
      <c r="BP36" s="247">
        <f>'Supply calc &gt;&gt;&gt;'!N36*'National data'!$Z38/1000000</f>
        <v>641.17497560364257</v>
      </c>
      <c r="BQ36" s="229">
        <f>'Supply calc &gt;&gt;&gt;'!N36*Multipliers!$E36</f>
        <v>91846347.119212106</v>
      </c>
      <c r="BR36" s="118">
        <f>'Supply calc &gt;&gt;&gt;'!P36*'National data'!Z38/1000000</f>
        <v>16117.661523172577</v>
      </c>
      <c r="BS36" s="192">
        <f>'Supply calc &gt;&gt;&gt;'!P36*Multipliers!E36</f>
        <v>2308805538.7900691</v>
      </c>
      <c r="BT36" s="118">
        <f>'Supply calc &gt;&gt;&gt;'!R36*'National data'!$Z38/1000000</f>
        <v>11569.061389904658</v>
      </c>
      <c r="BU36" s="192">
        <f>'Supply calc &gt;&gt;&gt;'!R36*Multipliers!$E36</f>
        <v>1657232531.9781573</v>
      </c>
      <c r="BV36" s="118">
        <f>'Supply calc &gt;&gt;&gt;'!T36*'National data'!$Z38/1000000</f>
        <v>3912.7009814232269</v>
      </c>
      <c r="BW36" s="240">
        <f>'Supply calc &gt;&gt;&gt;'!T36*Multipliers!$E36</f>
        <v>560482405.25162184</v>
      </c>
      <c r="BX36" s="78">
        <f>'Supply calc &gt;&gt;&gt;'!V36*'National data'!$Z38/1000000</f>
        <v>3388.3747463702707</v>
      </c>
      <c r="BY36" s="192">
        <f>'Supply calc &gt;&gt;&gt;'!V36*Multipliers!$E36</f>
        <v>485374281.54007971</v>
      </c>
      <c r="BZ36" s="118">
        <f>'Supply calc &gt;&gt;&gt;'!X36*'National data'!$Z38/1000000</f>
        <v>126.50125003468663</v>
      </c>
      <c r="CA36" s="192">
        <f>'Supply calc &gt;&gt;&gt;'!X36*Multipliers!$E36</f>
        <v>18120915.762131102</v>
      </c>
      <c r="CB36" s="234">
        <f>'Supply calc &gt;&gt;&gt;'!Z36*'National data'!$Z38/1000000</f>
        <v>12105.287061458786</v>
      </c>
      <c r="CC36" s="229">
        <f>'Supply calc &gt;&gt;&gt;'!Z36*Multipliers!$E36</f>
        <v>1734045213.4422545</v>
      </c>
    </row>
    <row r="37" spans="1:81">
      <c r="A37" s="9">
        <v>36</v>
      </c>
      <c r="B37" s="1" t="s">
        <v>141</v>
      </c>
      <c r="C37" s="1" t="s">
        <v>489</v>
      </c>
      <c r="D37" s="1">
        <v>1</v>
      </c>
      <c r="E37" s="191">
        <f>'Supply calc &gt;&gt;&gt;'!E37*'Farms proportions'!AK38</f>
        <v>28515948.261970669</v>
      </c>
      <c r="F37" s="118">
        <f>E37/'National data'!$S39/'Assumptions data'!$AA38</f>
        <v>543.16091927563184</v>
      </c>
      <c r="G37" s="240">
        <f>'Supply calc &gt;&gt;&gt;'!E37*'Farms proportions'!AL38</f>
        <v>52507770.395279355</v>
      </c>
      <c r="H37" s="118">
        <f>G37/'National data'!$T39/'Assumptions data'!$AA38</f>
        <v>259.29763158162643</v>
      </c>
      <c r="I37" s="118">
        <f>F37*'National data'!V39+H37*'National data'!X38</f>
        <v>339650.01603909442</v>
      </c>
      <c r="J37" s="242">
        <f>'Supply calc &gt;&gt;&gt;'!G37*'Farms proportions'!$AK38</f>
        <v>7477496.4520135894</v>
      </c>
      <c r="K37" s="234">
        <f>J37/'National data'!$S39/'Assumptions data'!$AA38</f>
        <v>142.42850384787789</v>
      </c>
      <c r="L37" s="230">
        <f>'Supply calc &gt;&gt;&gt;'!G37*'Farms proportions'!$AL38</f>
        <v>13768669.49073052</v>
      </c>
      <c r="M37" s="118">
        <f>L37/'National data'!$T39/'Assumptions data'!$AA38</f>
        <v>67.993429583854436</v>
      </c>
      <c r="N37" s="118">
        <f>K37*'National data'!$V39+M37*'National data'!$X38</f>
        <v>89063.557225123557</v>
      </c>
      <c r="O37" s="242">
        <f>'Supply calc &gt;&gt;&gt;'!I37*'Farms proportions'!$AK38</f>
        <v>5509150.09640464</v>
      </c>
      <c r="P37" s="234">
        <f>O37/'National data'!$S39/'Assumptions data'!$AA38</f>
        <v>104.93619231246933</v>
      </c>
      <c r="Q37" s="230">
        <f>'Supply calc &gt;&gt;&gt;'!I37*'Farms proportions'!$AL38</f>
        <v>10144259.825331686</v>
      </c>
      <c r="R37" s="118">
        <f>Q37/'National data'!$T39/'Assumptions data'!$AA38</f>
        <v>50.095110248551535</v>
      </c>
      <c r="S37" s="118">
        <f>P37*'National data'!$V39+R37*'National data'!$X38</f>
        <v>65618.821489483991</v>
      </c>
      <c r="T37" s="242">
        <f>'Supply calc &gt;&gt;&gt;'!K37*'Farms proportions'!$AK38</f>
        <v>14665545.799201172</v>
      </c>
      <c r="U37" s="234">
        <f>T37/'National data'!$S39/'Assumptions data'!$AA38</f>
        <v>279.34372950859375</v>
      </c>
      <c r="V37" s="230">
        <f>'Supply calc &gt;&gt;&gt;'!K37*'Farms proportions'!$AL38</f>
        <v>27004366.27502466</v>
      </c>
      <c r="W37" s="118">
        <f>V37/'National data'!$T39/'Assumptions data'!$AA38</f>
        <v>133.35489518530696</v>
      </c>
      <c r="X37" s="118">
        <f>U37*'National data'!$V39+W37*'National data'!$X38</f>
        <v>174679.54493954871</v>
      </c>
      <c r="Y37" s="242">
        <f>'Supply calc &gt;&gt;&gt;'!M37*'Farms proportions'!$AK38</f>
        <v>501742.43026759569</v>
      </c>
      <c r="Z37" s="234">
        <f>Y37/'National data'!$S39/'Assumptions data'!$AA38</f>
        <v>9.5569986717637274</v>
      </c>
      <c r="AA37" s="230">
        <f>'Supply calc &gt;&gt;&gt;'!M37*'Farms proportions'!$AL38</f>
        <v>923882.175827728</v>
      </c>
      <c r="AB37" s="118">
        <f>AA37/'National data'!$T39/'Assumptions data'!$AA38</f>
        <v>4.5623811151986571</v>
      </c>
      <c r="AC37" s="118">
        <f>Z37*'National data'!$V39+AB37*'National data'!$X38</f>
        <v>5976.1934943315118</v>
      </c>
      <c r="AD37" s="191">
        <f>'Supply calc &gt;&gt;&gt;'!O37*'Farms proportions'!AK38</f>
        <v>9505815.8426433876</v>
      </c>
      <c r="AE37" s="118">
        <f>AD37/'National data'!$S39/'Assumptions data'!$AA38</f>
        <v>181.06315890749312</v>
      </c>
      <c r="AF37" s="240">
        <f>'Supply calc &gt;&gt;&gt;'!O37*'Farms proportions'!AL38</f>
        <v>17503510.354974754</v>
      </c>
      <c r="AG37" s="118">
        <f>AF37/'National data'!$T39/'Assumptions data'!$AA38</f>
        <v>86.437088172714837</v>
      </c>
      <c r="AH37" s="178">
        <f>AE37*'National data'!V38+AG37*'National data'!X38</f>
        <v>113222.62453829337</v>
      </c>
      <c r="AI37" s="191">
        <f>'Supply calc &gt;&gt;&gt;'!Q37*'Farms proportions'!$AK38</f>
        <v>6100278.5301113045</v>
      </c>
      <c r="AJ37" s="118">
        <f>AI37/'National data'!$S39/'Assumptions data'!$AA38</f>
        <v>116.1957815259296</v>
      </c>
      <c r="AK37" s="240">
        <f>'Supply calc &gt;&gt;&gt;'!Q37*'Farms proportions'!$AL38</f>
        <v>11232732.696233355</v>
      </c>
      <c r="AL37" s="118">
        <f>AK37/'National data'!$T39/'Assumptions data'!$AA38</f>
        <v>55.470284919670895</v>
      </c>
      <c r="AM37" s="178">
        <f>AJ37*'National data'!$V38+AL37*'National data'!$X38</f>
        <v>72659.680876137892</v>
      </c>
      <c r="AN37" s="191">
        <f>'Supply calc &gt;&gt;&gt;'!S37*'Farms proportions'!$AK38</f>
        <v>1737645.8786583536</v>
      </c>
      <c r="AO37" s="118">
        <f>AN37/'National data'!$S39/'Assumptions data'!$AA38</f>
        <v>33.098016736349592</v>
      </c>
      <c r="AP37" s="240">
        <f>'Supply calc &gt;&gt;&gt;'!S37*'Farms proportions'!$AL38</f>
        <v>3199609.9160614382</v>
      </c>
      <c r="AQ37" s="118">
        <f>AP37/'National data'!$T39/'Assumptions data'!$AA38</f>
        <v>15.800542795365127</v>
      </c>
      <c r="AR37" s="178">
        <f>AO37*'National data'!$V38+AQ37*'National data'!$X38</f>
        <v>20696.89021506835</v>
      </c>
      <c r="AS37" s="191">
        <f>'Supply calc &gt;&gt;&gt;'!U37*'Farms proportions'!$AK38</f>
        <v>2123090.7471422986</v>
      </c>
      <c r="AT37" s="118">
        <f>AS37/'National data'!$S39/'Assumptions data'!$AA38</f>
        <v>40.439823755091403</v>
      </c>
      <c r="AU37" s="240">
        <f>'Supply calc &gt;&gt;&gt;'!U37*'Farms proportions'!$AL38</f>
        <v>3909347.8658032147</v>
      </c>
      <c r="AV37" s="118">
        <f>AU37/'National data'!$T39/'Assumptions data'!$AA38</f>
        <v>19.305421559522049</v>
      </c>
      <c r="AW37" s="178">
        <f>AT37*'National data'!$V38+AV37*'National data'!$X38</f>
        <v>25287.877495591325</v>
      </c>
      <c r="AX37" s="191">
        <f>'Supply calc &gt;&gt;&gt;'!W37*'Farms proportions'!$AK38</f>
        <v>121575.94729155189</v>
      </c>
      <c r="AY37" s="118">
        <f>AX37/'National data'!$S39/'Assumptions data'!$AA38</f>
        <v>2.3157323293628935</v>
      </c>
      <c r="AZ37" s="240">
        <f>'Supply calc &gt;&gt;&gt;'!W37*'Farms proportions'!$AL38</f>
        <v>223863.56811029755</v>
      </c>
      <c r="BA37" s="118">
        <f>AZ37/'National data'!$T39/'Assumptions data'!$AA38</f>
        <v>1.1054991017792473</v>
      </c>
      <c r="BB37" s="118">
        <f>AY37*'National data'!$V38+BA37*'National data'!$X38</f>
        <v>1448.0764261524866</v>
      </c>
      <c r="BC37" s="78">
        <f>'Supply calc &gt;&gt;&gt;'!Y37*'Farms proportions'!AK38</f>
        <v>8133508.8696010262</v>
      </c>
      <c r="BD37" s="234">
        <f>BC37/'National data'!$S39/'Assumptions data'!$AA38</f>
        <v>154.92397846859097</v>
      </c>
      <c r="BE37" s="118">
        <f>'Supply calc &gt;&gt;&gt;'!Y37*'Farms proportions'!AL38</f>
        <v>14976616.323944222</v>
      </c>
      <c r="BF37" s="234">
        <f>BE37/'National data'!$T39/'Assumptions data'!$AA38</f>
        <v>73.958599130588766</v>
      </c>
      <c r="BG37" s="235">
        <f>BD37*'National data'!$V38+BF37*'National data'!$X38</f>
        <v>96877.241908110838</v>
      </c>
      <c r="BH37" s="118">
        <f>'Supply calc &gt;&gt;&gt;'!F37*'National data'!Z39/1000000</f>
        <v>30668.344653225442</v>
      </c>
      <c r="BI37" s="192">
        <f>'Supply calc &gt;&gt;&gt;'!F37*Multipliers!E37</f>
        <v>3974751353.419395</v>
      </c>
      <c r="BJ37" s="247">
        <f>'Supply calc &gt;&gt;&gt;'!H37*'National data'!$Z39/1000000</f>
        <v>8041.9011925144787</v>
      </c>
      <c r="BK37" s="229">
        <f>'Supply calc &gt;&gt;&gt;'!H37*Multipliers!$E37</f>
        <v>1042265502.4404849</v>
      </c>
      <c r="BL37" s="247">
        <f>'Supply calc &gt;&gt;&gt;'!J37*'National data'!$Z39/1000000</f>
        <v>5924.9831831197007</v>
      </c>
      <c r="BM37" s="229">
        <f>'Supply calc &gt;&gt;&gt;'!J37*Multipliers!$E37</f>
        <v>767903686.7617619</v>
      </c>
      <c r="BN37" s="247">
        <f>'Supply calc &gt;&gt;&gt;'!L37*'National data'!$Z39/1000000</f>
        <v>15772.507684669285</v>
      </c>
      <c r="BO37" s="229">
        <f>'Supply calc &gt;&gt;&gt;'!L37*Multipliers!$E37</f>
        <v>2044185852.7197571</v>
      </c>
      <c r="BP37" s="247">
        <f>'Supply calc &gt;&gt;&gt;'!N37*'National data'!$Z39/1000000</f>
        <v>539.61417089238887</v>
      </c>
      <c r="BQ37" s="229">
        <f>'Supply calc &gt;&gt;&gt;'!N37*Multipliers!$E37</f>
        <v>69936352.298467845</v>
      </c>
      <c r="BR37" s="118">
        <f>'Supply calc &gt;&gt;&gt;'!P37*'National data'!Z39/1000000</f>
        <v>5041.9875957687418</v>
      </c>
      <c r="BS37" s="192">
        <f>'Supply calc &gt;&gt;&gt;'!P37*Multipliers!E37</f>
        <v>653463603.81723118</v>
      </c>
      <c r="BT37" s="118">
        <f>'Supply calc &gt;&gt;&gt;'!R37*'National data'!$Z39/1000000</f>
        <v>3235.6537501574908</v>
      </c>
      <c r="BU37" s="192">
        <f>'Supply calc &gt;&gt;&gt;'!R37*Multipliers!$E37</f>
        <v>419354851.65751922</v>
      </c>
      <c r="BV37" s="118">
        <f>'Supply calc &gt;&gt;&gt;'!T37*'National data'!$Z39/1000000</f>
        <v>921.66617900707945</v>
      </c>
      <c r="BW37" s="240">
        <f>'Supply calc &gt;&gt;&gt;'!T37*Multipliers!$E37</f>
        <v>119451960.44430088</v>
      </c>
      <c r="BX37" s="78">
        <f>'Supply calc &gt;&gt;&gt;'!V37*'National data'!$Z39/1000000</f>
        <v>1126.1103085714853</v>
      </c>
      <c r="BY37" s="192">
        <f>'Supply calc &gt;&gt;&gt;'!V37*Multipliers!$E37</f>
        <v>145948812.1613794</v>
      </c>
      <c r="BZ37" s="118">
        <f>'Supply calc &gt;&gt;&gt;'!X37*'National data'!$Z39/1000000</f>
        <v>64.485198149744448</v>
      </c>
      <c r="CA37" s="192">
        <f>'Supply calc &gt;&gt;&gt;'!X37*Multipliers!$E37</f>
        <v>8357563.1981251333</v>
      </c>
      <c r="CB37" s="234">
        <f>'Supply calc &gt;&gt;&gt;'!Z37*'National data'!$Z39/1000000</f>
        <v>4314.1011260322884</v>
      </c>
      <c r="CC37" s="229">
        <f>'Supply calc &gt;&gt;&gt;'!Z37*Multipliers!$E37</f>
        <v>559126339.66312063</v>
      </c>
    </row>
    <row r="38" spans="1:81">
      <c r="A38" s="9">
        <v>37</v>
      </c>
      <c r="B38" s="1" t="s">
        <v>493</v>
      </c>
      <c r="C38" s="1" t="s">
        <v>494</v>
      </c>
      <c r="D38" s="1">
        <v>0</v>
      </c>
      <c r="E38" s="191">
        <f>'Supply calc &gt;&gt;&gt;'!E38*'Farms proportions'!AK39</f>
        <v>27385928.56712202</v>
      </c>
      <c r="F38" s="118">
        <f>E38/'National data'!$S40/'Assumptions data'!$AA39</f>
        <v>521.63673461184806</v>
      </c>
      <c r="G38" s="240">
        <f>'Supply calc &gt;&gt;&gt;'!E38*'Farms proportions'!AL39</f>
        <v>78767739.490467489</v>
      </c>
      <c r="H38" s="118">
        <f>G38/'National data'!$T40/'Assumptions data'!$AA39</f>
        <v>388.97649131095056</v>
      </c>
      <c r="I38" s="118">
        <f>F38*'National data'!V40+H38*'National data'!X39</f>
        <v>441792.66751818208</v>
      </c>
      <c r="J38" s="242">
        <f>'Supply calc &gt;&gt;&gt;'!G38*'Farms proportions'!$AK39</f>
        <v>6873770.721894009</v>
      </c>
      <c r="K38" s="234">
        <f>J38/'National data'!$S40/'Assumptions data'!$AA39</f>
        <v>130.92896613131447</v>
      </c>
      <c r="L38" s="230">
        <f>'Supply calc &gt;&gt;&gt;'!G38*'Farms proportions'!$AL39</f>
        <v>19770422.617305789</v>
      </c>
      <c r="M38" s="118">
        <f>L38/'National data'!$T40/'Assumptions data'!$AA39</f>
        <v>97.631716628670574</v>
      </c>
      <c r="N38" s="118">
        <f>K38*'National data'!$V40+M38*'National data'!$X39</f>
        <v>110888.38911161554</v>
      </c>
      <c r="O38" s="242">
        <f>'Supply calc &gt;&gt;&gt;'!I38*'Farms proportions'!$AK39</f>
        <v>4535078.7299337797</v>
      </c>
      <c r="P38" s="234">
        <f>O38/'National data'!$S40/'Assumptions data'!$AA39</f>
        <v>86.382451998738659</v>
      </c>
      <c r="Q38" s="230">
        <f>'Supply calc &gt;&gt;&gt;'!I38*'Farms proportions'!$AL39</f>
        <v>13043848.379749279</v>
      </c>
      <c r="R38" s="118">
        <f>Q38/'National data'!$T40/'Assumptions data'!$AA39</f>
        <v>64.414066072835951</v>
      </c>
      <c r="S38" s="118">
        <f>P38*'National data'!$V40+R38*'National data'!$X39</f>
        <v>73160.364987871129</v>
      </c>
      <c r="T38" s="242">
        <f>'Supply calc &gt;&gt;&gt;'!K38*'Farms proportions'!$AK39</f>
        <v>15673758.677365385</v>
      </c>
      <c r="U38" s="234">
        <f>T38/'National data'!$S40/'Assumptions data'!$AA39</f>
        <v>298.54778433076928</v>
      </c>
      <c r="V38" s="230">
        <f>'Supply calc &gt;&gt;&gt;'!K38*'Farms proportions'!$AL39</f>
        <v>45081054.575499944</v>
      </c>
      <c r="W38" s="118">
        <f>V38/'National data'!$T40/'Assumptions data'!$AA39</f>
        <v>222.62249173086394</v>
      </c>
      <c r="X38" s="118">
        <f>U38*'National data'!$V40+W38*'National data'!$X39</f>
        <v>252850.71635010134</v>
      </c>
      <c r="Y38" s="242">
        <f>'Supply calc &gt;&gt;&gt;'!M38*'Farms proportions'!$AK39</f>
        <v>242885.73662514158</v>
      </c>
      <c r="Z38" s="234">
        <f>Y38/'National data'!$S40/'Assumptions data'!$AA39</f>
        <v>4.6263949833360298</v>
      </c>
      <c r="AA38" s="230">
        <f>'Supply calc &gt;&gt;&gt;'!M38*'Farms proportions'!$AL39</f>
        <v>698590.8979331709</v>
      </c>
      <c r="AB38" s="118">
        <f>AA38/'National data'!$T40/'Assumptions data'!$AA39</f>
        <v>3.449831594731708</v>
      </c>
      <c r="AC38" s="118">
        <f>Z38*'National data'!$V40+AB38*'National data'!$X39</f>
        <v>3918.2581383990137</v>
      </c>
      <c r="AD38" s="191">
        <f>'Supply calc &gt;&gt;&gt;'!O38*'Farms proportions'!AK39</f>
        <v>7142420.2405368621</v>
      </c>
      <c r="AE38" s="118">
        <f>AD38/'National data'!$S40/'Assumptions data'!$AA39</f>
        <v>136.04609981974974</v>
      </c>
      <c r="AF38" s="240">
        <f>'Supply calc &gt;&gt;&gt;'!O38*'Farms proportions'!AL39</f>
        <v>20543115.617173772</v>
      </c>
      <c r="AG38" s="118">
        <f>AF38/'National data'!$T40/'Assumptions data'!$AA39</f>
        <v>101.4474845292532</v>
      </c>
      <c r="AH38" s="178">
        <f>AE38*'National data'!V39+AG38*'National data'!X39</f>
        <v>115222.27127952533</v>
      </c>
      <c r="AI38" s="191">
        <f>'Supply calc &gt;&gt;&gt;'!Q38*'Farms proportions'!$AK39</f>
        <v>5840769.0955500528</v>
      </c>
      <c r="AJ38" s="118">
        <f>AI38/'National data'!$S40/'Assumptions data'!$AA39</f>
        <v>111.25274467714387</v>
      </c>
      <c r="AK38" s="240">
        <f>'Supply calc &gt;&gt;&gt;'!Q38*'Farms proportions'!$AL39</f>
        <v>16799290.826113768</v>
      </c>
      <c r="AL38" s="118">
        <f>AK38/'National data'!$T40/'Assumptions data'!$AA39</f>
        <v>82.959460869697622</v>
      </c>
      <c r="AM38" s="178">
        <f>AJ38*'National data'!$V39+AL38*'National data'!$X39</f>
        <v>94223.898698790465</v>
      </c>
      <c r="AN38" s="191">
        <f>'Supply calc &gt;&gt;&gt;'!S38*'Farms proportions'!$AK39</f>
        <v>1596801.9891122824</v>
      </c>
      <c r="AO38" s="118">
        <f>AN38/'National data'!$S40/'Assumptions data'!$AA39</f>
        <v>30.415275983091092</v>
      </c>
      <c r="AP38" s="240">
        <f>'Supply calc &gt;&gt;&gt;'!S38*'Farms proportions'!$AL39</f>
        <v>4592741.2243109625</v>
      </c>
      <c r="AQ38" s="118">
        <f>AP38/'National data'!$T40/'Assumptions data'!$AA39</f>
        <v>22.68020357684426</v>
      </c>
      <c r="AR38" s="178">
        <f>AO38*'National data'!$V39+AQ38*'National data'!$X39</f>
        <v>25759.7769065674</v>
      </c>
      <c r="AS38" s="191">
        <f>'Supply calc &gt;&gt;&gt;'!U38*'Farms proportions'!$AK39</f>
        <v>1562262.4769911955</v>
      </c>
      <c r="AT38" s="118">
        <f>AS38/'National data'!$S40/'Assumptions data'!$AA39</f>
        <v>29.757380514118008</v>
      </c>
      <c r="AU38" s="240">
        <f>'Supply calc &gt;&gt;&gt;'!U38*'Farms proportions'!$AL39</f>
        <v>4493398.2611460099</v>
      </c>
      <c r="AV38" s="118">
        <f>AU38/'National data'!$T40/'Assumptions data'!$AA39</f>
        <v>22.189621042696345</v>
      </c>
      <c r="AW38" s="178">
        <f>AT38*'National data'!$V39+AV38*'National data'!$X39</f>
        <v>25202.58188002844</v>
      </c>
      <c r="AX38" s="191">
        <f>'Supply calc &gt;&gt;&gt;'!W38*'Farms proportions'!$AK39</f>
        <v>80742.502187202292</v>
      </c>
      <c r="AY38" s="118">
        <f>AX38/'National data'!$S40/'Assumptions data'!$AA39</f>
        <v>1.5379524226133769</v>
      </c>
      <c r="AZ38" s="240">
        <f>'Supply calc &gt;&gt;&gt;'!W38*'Farms proportions'!$AL39</f>
        <v>232232.562883604</v>
      </c>
      <c r="BA38" s="118">
        <f>AZ38/'National data'!$T40/'Assumptions data'!$AA39</f>
        <v>1.1468274710301432</v>
      </c>
      <c r="BB38" s="118">
        <f>AY38*'National data'!$V39+BA38*'National data'!$X39</f>
        <v>1302.5465006945883</v>
      </c>
      <c r="BC38" s="78">
        <f>'Supply calc &gt;&gt;&gt;'!Y38*'Farms proportions'!AK39</f>
        <v>6315029.1522536855</v>
      </c>
      <c r="BD38" s="234">
        <f>BC38/'National data'!$S40/'Assumptions data'!$AA39</f>
        <v>120.28626956673686</v>
      </c>
      <c r="BE38" s="118">
        <f>'Supply calc &gt;&gt;&gt;'!Y38*'Farms proportions'!AL39</f>
        <v>18163363.346262459</v>
      </c>
      <c r="BF38" s="234">
        <f>BE38/'National data'!$T40/'Assumptions data'!$AA39</f>
        <v>89.695621463024494</v>
      </c>
      <c r="BG38" s="235">
        <f>BD38*'National data'!$V39+BF38*'National data'!$X39</f>
        <v>101874.71159837444</v>
      </c>
      <c r="BH38" s="118">
        <f>'Supply calc &gt;&gt;&gt;'!F38*'National data'!Z40/1000000</f>
        <v>35544.130534706463</v>
      </c>
      <c r="BI38" s="192">
        <f>'Supply calc &gt;&gt;&gt;'!F38*Multipliers!E38</f>
        <v>5576500697.8052425</v>
      </c>
      <c r="BJ38" s="247">
        <f>'Supply calc &gt;&gt;&gt;'!H38*'National data'!$Z40/1000000</f>
        <v>8921.4504158885211</v>
      </c>
      <c r="BK38" s="229">
        <f>'Supply calc &gt;&gt;&gt;'!H38*Multipliers!$E38</f>
        <v>1399681852.4245291</v>
      </c>
      <c r="BL38" s="247">
        <f>'Supply calc &gt;&gt;&gt;'!J38*'National data'!$Z40/1000000</f>
        <v>5886.0677287918961</v>
      </c>
      <c r="BM38" s="229">
        <f>'Supply calc &gt;&gt;&gt;'!J38*Multipliers!$E38</f>
        <v>923462194.83092499</v>
      </c>
      <c r="BN38" s="247">
        <f>'Supply calc &gt;&gt;&gt;'!L38*'National data'!$Z40/1000000</f>
        <v>20342.933526329212</v>
      </c>
      <c r="BO38" s="229">
        <f>'Supply calc &gt;&gt;&gt;'!L38*Multipliers!$E38</f>
        <v>3191592572.3436003</v>
      </c>
      <c r="BP38" s="247">
        <f>'Supply calc &gt;&gt;&gt;'!N38*'National data'!$Z40/1000000</f>
        <v>315.24081085886007</v>
      </c>
      <c r="BQ38" s="229">
        <f>'Supply calc &gt;&gt;&gt;'!N38*Multipliers!$E38</f>
        <v>49457971.689998507</v>
      </c>
      <c r="BR38" s="118">
        <f>'Supply calc &gt;&gt;&gt;'!P38*'National data'!Z40/1000000</f>
        <v>4922.3997868516362</v>
      </c>
      <c r="BS38" s="192">
        <f>'Supply calc &gt;&gt;&gt;'!P38*Multipliers!E38</f>
        <v>772272817.85530436</v>
      </c>
      <c r="BT38" s="118">
        <f>'Supply calc &gt;&gt;&gt;'!R38*'National data'!$Z40/1000000</f>
        <v>4025.3302917981428</v>
      </c>
      <c r="BU38" s="192">
        <f>'Supply calc &gt;&gt;&gt;'!R38*Multipliers!$E38</f>
        <v>631532037.59452438</v>
      </c>
      <c r="BV38" s="118">
        <f>'Supply calc &gt;&gt;&gt;'!T38*'National data'!$Z40/1000000</f>
        <v>1100.4810002974232</v>
      </c>
      <c r="BW38" s="240">
        <f>'Supply calc &gt;&gt;&gt;'!T38*Multipliers!$E38</f>
        <v>172653908.64147836</v>
      </c>
      <c r="BX38" s="78">
        <f>'Supply calc &gt;&gt;&gt;'!V38*'National data'!$Z40/1000000</f>
        <v>1076.677124107408</v>
      </c>
      <c r="BY38" s="192">
        <f>'Supply calc &gt;&gt;&gt;'!V38*Multipliers!$E38</f>
        <v>168919330.52162609</v>
      </c>
      <c r="BZ38" s="118">
        <f>'Supply calc &gt;&gt;&gt;'!X38*'National data'!$Z40/1000000</f>
        <v>55.64596623710819</v>
      </c>
      <c r="CA38" s="192">
        <f>'Supply calc &gt;&gt;&gt;'!X38*Multipliers!$E38</f>
        <v>8730267.5542529896</v>
      </c>
      <c r="CB38" s="234">
        <f>'Supply calc &gt;&gt;&gt;'!Z38*'National data'!$Z40/1000000</f>
        <v>4352.1799482746337</v>
      </c>
      <c r="CC38" s="229">
        <f>'Supply calc &gt;&gt;&gt;'!Z38*Multipliers!$E38</f>
        <v>682811315.21361911</v>
      </c>
    </row>
    <row r="39" spans="1:81">
      <c r="A39" s="9">
        <v>38</v>
      </c>
      <c r="B39" s="1" t="s">
        <v>498</v>
      </c>
      <c r="C39" s="1" t="s">
        <v>499</v>
      </c>
      <c r="D39" s="1">
        <v>0</v>
      </c>
      <c r="E39" s="191">
        <f>'Supply calc &gt;&gt;&gt;'!E39*'Farms proportions'!AK40</f>
        <v>145944734.35022959</v>
      </c>
      <c r="F39" s="118">
        <f>E39/'National data'!$S41/'Assumptions data'!$AA40</f>
        <v>2779.8997019091353</v>
      </c>
      <c r="G39" s="240">
        <f>'Supply calc &gt;&gt;&gt;'!E39*'Farms proportions'!AL40</f>
        <v>350181430.79914045</v>
      </c>
      <c r="H39" s="118">
        <f>G39/'National data'!$T41/'Assumptions data'!$AA40</f>
        <v>1729.2910162920518</v>
      </c>
      <c r="I39" s="118">
        <f>F39*'National data'!V41+H39*'National data'!X40</f>
        <v>2070551.2105982453</v>
      </c>
      <c r="J39" s="242">
        <f>'Supply calc &gt;&gt;&gt;'!G39*'Farms proportions'!$AK40</f>
        <v>38775829.482794598</v>
      </c>
      <c r="K39" s="234">
        <f>J39/'National data'!$S41/'Assumptions data'!$AA40</f>
        <v>738.58722824370659</v>
      </c>
      <c r="L39" s="230">
        <f>'Supply calc &gt;&gt;&gt;'!G39*'Farms proportions'!$AL40</f>
        <v>93039159.714549497</v>
      </c>
      <c r="M39" s="118">
        <f>L39/'National data'!$T41/'Assumptions data'!$AA40</f>
        <v>459.45264056567652</v>
      </c>
      <c r="N39" s="118">
        <f>K39*'National data'!$V41+M39*'National data'!$X40</f>
        <v>550121.53083154513</v>
      </c>
      <c r="O39" s="242">
        <f>'Supply calc &gt;&gt;&gt;'!I39*'Farms proportions'!$AK40</f>
        <v>29117988.322391585</v>
      </c>
      <c r="P39" s="234">
        <f>O39/'National data'!$S41/'Assumptions data'!$AA40</f>
        <v>554.62834899793495</v>
      </c>
      <c r="Q39" s="230">
        <f>'Supply calc &gt;&gt;&gt;'!I39*'Farms proportions'!$AL40</f>
        <v>69866027.425549999</v>
      </c>
      <c r="R39" s="118">
        <f>Q39/'National data'!$T41/'Assumptions data'!$AA40</f>
        <v>345.01741938543211</v>
      </c>
      <c r="S39" s="118">
        <f>P39*'National data'!$V41+R39*'National data'!$X40</f>
        <v>413103.53703088989</v>
      </c>
      <c r="T39" s="242">
        <f>'Supply calc &gt;&gt;&gt;'!K39*'Farms proportions'!$AK40</f>
        <v>83337545.01442866</v>
      </c>
      <c r="U39" s="234">
        <f>T39/'National data'!$S41/'Assumptions data'!$AA40</f>
        <v>1587.3818097986411</v>
      </c>
      <c r="V39" s="230">
        <f>'Supply calc &gt;&gt;&gt;'!K39*'Farms proportions'!$AL40</f>
        <v>199961039.2411153</v>
      </c>
      <c r="W39" s="118">
        <f>V39/'National data'!$T41/'Assumptions data'!$AA40</f>
        <v>987.46192217834721</v>
      </c>
      <c r="X39" s="118">
        <f>U39*'National data'!$V41+W39*'National data'!$X40</f>
        <v>1182328.745782801</v>
      </c>
      <c r="Y39" s="242">
        <f>'Supply calc &gt;&gt;&gt;'!M39*'Farms proportions'!$AK40</f>
        <v>1334998.0592057717</v>
      </c>
      <c r="Z39" s="234">
        <f>Y39/'National data'!$S41/'Assumptions data'!$AA40</f>
        <v>25.428534461062316</v>
      </c>
      <c r="AA39" s="230">
        <f>'Supply calc &gt;&gt;&gt;'!M39*'Farms proportions'!$AL40</f>
        <v>3203209.3008912136</v>
      </c>
      <c r="AB39" s="118">
        <f>AA39/'National data'!$T41/'Assumptions data'!$AA40</f>
        <v>15.818317535265253</v>
      </c>
      <c r="AC39" s="118">
        <f>Z39*'National data'!$V41+AB39*'National data'!$X40</f>
        <v>18939.921744634496</v>
      </c>
      <c r="AD39" s="191">
        <f>'Supply calc &gt;&gt;&gt;'!O39*'Farms proportions'!AK40</f>
        <v>36386841.370729439</v>
      </c>
      <c r="AE39" s="118">
        <f>AD39/'National data'!$S41/'Assumptions data'!$AA40</f>
        <v>693.08269277579882</v>
      </c>
      <c r="AF39" s="240">
        <f>'Supply calc &gt;&gt;&gt;'!O39*'Farms proportions'!AL40</f>
        <v>87306994.871674508</v>
      </c>
      <c r="AG39" s="118">
        <f>AF39/'National data'!$T41/'Assumptions data'!$AA40</f>
        <v>431.14565368728159</v>
      </c>
      <c r="AH39" s="178">
        <f>AE39*'National data'!V40+AG39*'National data'!X40</f>
        <v>516228.41197690414</v>
      </c>
      <c r="AI39" s="191">
        <f>'Supply calc &gt;&gt;&gt;'!Q39*'Farms proportions'!$AK40</f>
        <v>28819594.999881167</v>
      </c>
      <c r="AJ39" s="118">
        <f>AI39/'National data'!$S41/'Assumptions data'!$AA40</f>
        <v>548.94466666440326</v>
      </c>
      <c r="AK39" s="240">
        <f>'Supply calc &gt;&gt;&gt;'!Q39*'Farms proportions'!$AL40</f>
        <v>69150059.144249395</v>
      </c>
      <c r="AL39" s="118">
        <f>AK39/'National data'!$T41/'Assumptions data'!$AA40</f>
        <v>341.48177355184885</v>
      </c>
      <c r="AM39" s="178">
        <f>AJ39*'National data'!$V40+AL39*'National data'!$X40</f>
        <v>408870.1629533043</v>
      </c>
      <c r="AN39" s="191">
        <f>'Supply calc &gt;&gt;&gt;'!S39*'Farms proportions'!$AK40</f>
        <v>8088871.0333296657</v>
      </c>
      <c r="AO39" s="118">
        <f>AN39/'National data'!$S41/'Assumptions data'!$AA40</f>
        <v>154.07373396818411</v>
      </c>
      <c r="AP39" s="240">
        <f>'Supply calc &gt;&gt;&gt;'!S39*'Farms proportions'!$AL40</f>
        <v>19408527.786988627</v>
      </c>
      <c r="AQ39" s="118">
        <f>AP39/'National data'!$T41/'Assumptions data'!$AA40</f>
        <v>95.844581664141373</v>
      </c>
      <c r="AR39" s="178">
        <f>AO39*'National data'!$V40+AQ39*'National data'!$X40</f>
        <v>114758.6570012313</v>
      </c>
      <c r="AS39" s="191">
        <f>'Supply calc &gt;&gt;&gt;'!U39*'Farms proportions'!$AK40</f>
        <v>9398976.6846979503</v>
      </c>
      <c r="AT39" s="118">
        <f>AS39/'National data'!$S41/'Assumptions data'!$AA40</f>
        <v>179.02812732758002</v>
      </c>
      <c r="AU39" s="240">
        <f>'Supply calc &gt;&gt;&gt;'!U39*'Farms proportions'!$AL40</f>
        <v>22552009.96561417</v>
      </c>
      <c r="AV39" s="118">
        <f>AU39/'National data'!$T41/'Assumptions data'!$AA40</f>
        <v>111.36795044747738</v>
      </c>
      <c r="AW39" s="178">
        <f>AT39*'National data'!$V40+AV39*'National data'!$X40</f>
        <v>133345.42448228732</v>
      </c>
      <c r="AX39" s="191">
        <f>'Supply calc &gt;&gt;&gt;'!W39*'Farms proportions'!$AK40</f>
        <v>195109.56617227464</v>
      </c>
      <c r="AY39" s="118">
        <f>AX39/'National data'!$S41/'Assumptions data'!$AA40</f>
        <v>3.7163726889957078</v>
      </c>
      <c r="AZ39" s="240">
        <f>'Supply calc &gt;&gt;&gt;'!W39*'Farms proportions'!$AL40</f>
        <v>468148.07912731823</v>
      </c>
      <c r="BA39" s="118">
        <f>AZ39/'National data'!$T41/'Assumptions data'!$AA40</f>
        <v>2.3118423660608309</v>
      </c>
      <c r="BB39" s="118">
        <f>AY39*'National data'!$V40+BA39*'National data'!$X40</f>
        <v>2768.0638855242551</v>
      </c>
      <c r="BC39" s="78">
        <f>'Supply calc &gt;&gt;&gt;'!Y39*'Farms proportions'!AK40</f>
        <v>37761373.674677566</v>
      </c>
      <c r="BD39" s="234">
        <f>BC39/'National data'!$S41/'Assumptions data'!$AA40</f>
        <v>719.26426047004884</v>
      </c>
      <c r="BE39" s="118">
        <f>'Supply calc &gt;&gt;&gt;'!Y39*'Farms proportions'!AL40</f>
        <v>90605063.082351521</v>
      </c>
      <c r="BF39" s="234">
        <f>BE39/'National data'!$T41/'Assumptions data'!$AA40</f>
        <v>447.43241028321745</v>
      </c>
      <c r="BG39" s="235">
        <f>BD39*'National data'!$V40+BF39*'National data'!$X40</f>
        <v>535729.21506251895</v>
      </c>
      <c r="BH39" s="118">
        <f>'Supply calc &gt;&gt;&gt;'!F39*'National data'!Z41/1000000</f>
        <v>81821.517253398983</v>
      </c>
      <c r="BI39" s="192">
        <f>'Supply calc &gt;&gt;&gt;'!F39*Multipliers!E39</f>
        <v>12278808864.76656</v>
      </c>
      <c r="BJ39" s="247">
        <f>'Supply calc &gt;&gt;&gt;'!H39*'National data'!$Z41/1000000</f>
        <v>21739.031662681875</v>
      </c>
      <c r="BK39" s="229">
        <f>'Supply calc &gt;&gt;&gt;'!H39*Multipliers!$E39</f>
        <v>3262337630.1432557</v>
      </c>
      <c r="BL39" s="247">
        <f>'Supply calc &gt;&gt;&gt;'!J39*'National data'!$Z41/1000000</f>
        <v>16324.521706877777</v>
      </c>
      <c r="BM39" s="229">
        <f>'Supply calc &gt;&gt;&gt;'!J39*Multipliers!$E39</f>
        <v>2449791797.7579203</v>
      </c>
      <c r="BN39" s="247">
        <f>'Supply calc &gt;&gt;&gt;'!L39*'National data'!$Z41/1000000</f>
        <v>46721.825269081826</v>
      </c>
      <c r="BO39" s="229">
        <f>'Supply calc &gt;&gt;&gt;'!L39*Multipliers!$E39</f>
        <v>7011460818.0068226</v>
      </c>
      <c r="BP39" s="247">
        <f>'Supply calc &gt;&gt;&gt;'!N39*'National data'!$Z41/1000000</f>
        <v>748.44472615525638</v>
      </c>
      <c r="BQ39" s="229">
        <f>'Supply calc &gt;&gt;&gt;'!N39*Multipliers!$E39</f>
        <v>112317762.45167558</v>
      </c>
      <c r="BR39" s="118">
        <f>'Supply calc &gt;&gt;&gt;'!P39*'National data'!Z41/1000000</f>
        <v>10832.146261456874</v>
      </c>
      <c r="BS39" s="192">
        <f>'Supply calc &gt;&gt;&gt;'!P39*Multipliers!E39</f>
        <v>1625560830.5051243</v>
      </c>
      <c r="BT39" s="118">
        <f>'Supply calc &gt;&gt;&gt;'!R39*'National data'!$Z41/1000000</f>
        <v>8579.4220238580128</v>
      </c>
      <c r="BU39" s="192">
        <f>'Supply calc &gt;&gt;&gt;'!R39*Multipliers!$E39</f>
        <v>1287498530.1833308</v>
      </c>
      <c r="BV39" s="118">
        <f>'Supply calc &gt;&gt;&gt;'!T39*'National data'!$Z41/1000000</f>
        <v>2408.0087972014107</v>
      </c>
      <c r="BW39" s="240">
        <f>'Supply calc &gt;&gt;&gt;'!T39*Multipliers!$E39</f>
        <v>361365576.66051185</v>
      </c>
      <c r="BX39" s="78">
        <f>'Supply calc &gt;&gt;&gt;'!V39*'National data'!$Z41/1000000</f>
        <v>2798.0194576210406</v>
      </c>
      <c r="BY39" s="192">
        <f>'Supply calc &gt;&gt;&gt;'!V39*Multipliers!$E39</f>
        <v>419893779.451998</v>
      </c>
      <c r="BZ39" s="118">
        <f>'Supply calc &gt;&gt;&gt;'!X39*'National data'!$Z41/1000000</f>
        <v>58.082957414588833</v>
      </c>
      <c r="CA39" s="192">
        <f>'Supply calc &gt;&gt;&gt;'!X39*Multipliers!$E39</f>
        <v>8716405.6147404797</v>
      </c>
      <c r="CB39" s="234">
        <f>'Supply calc &gt;&gt;&gt;'!Z39*'National data'!$Z41/1000000</f>
        <v>11241.336353165154</v>
      </c>
      <c r="CC39" s="229">
        <f>'Supply calc &gt;&gt;&gt;'!Z39*Multipliers!$E39</f>
        <v>1686967256.2730789</v>
      </c>
    </row>
    <row r="40" spans="1:81">
      <c r="A40" s="9">
        <v>39</v>
      </c>
      <c r="B40" s="1" t="s">
        <v>503</v>
      </c>
      <c r="C40" s="1" t="s">
        <v>504</v>
      </c>
      <c r="D40" s="1">
        <v>0</v>
      </c>
      <c r="E40" s="191">
        <f>'Supply calc &gt;&gt;&gt;'!E40*'Farms proportions'!AK41</f>
        <v>9680368.9762091003</v>
      </c>
      <c r="F40" s="118">
        <f>E40/'National data'!$S42/'Assumptions data'!$AA41</f>
        <v>184.38798049922096</v>
      </c>
      <c r="G40" s="240">
        <f>'Supply calc &gt;&gt;&gt;'!E40*'Farms proportions'!AL41</f>
        <v>8015539.5531762317</v>
      </c>
      <c r="H40" s="118">
        <f>G40/'National data'!$T42/'Assumptions data'!$AA41</f>
        <v>39.582911373709791</v>
      </c>
      <c r="I40" s="118">
        <f>F40*'National data'!V42+H40*'National data'!X41</f>
        <v>75289.108290004326</v>
      </c>
      <c r="J40" s="242">
        <f>'Supply calc &gt;&gt;&gt;'!G40*'Farms proportions'!$AK41</f>
        <v>2108691.9695220878</v>
      </c>
      <c r="K40" s="234">
        <f>J40/'National data'!$S42/'Assumptions data'!$AA41</f>
        <v>40.165561324230246</v>
      </c>
      <c r="L40" s="230">
        <f>'Supply calc &gt;&gt;&gt;'!G40*'Farms proportions'!$AL41</f>
        <v>1746039.2190327896</v>
      </c>
      <c r="M40" s="118">
        <f>L40/'National data'!$T42/'Assumptions data'!$AA41</f>
        <v>8.6224158964582198</v>
      </c>
      <c r="N40" s="118">
        <f>K40*'National data'!$V42+M40*'National data'!$X41</f>
        <v>16400.360196371679</v>
      </c>
      <c r="O40" s="242">
        <f>'Supply calc &gt;&gt;&gt;'!I40*'Farms proportions'!$AK41</f>
        <v>1640643.2753752894</v>
      </c>
      <c r="P40" s="234">
        <f>O40/'National data'!$S42/'Assumptions data'!$AA41</f>
        <v>31.250348102386468</v>
      </c>
      <c r="Q40" s="230">
        <f>'Supply calc &gt;&gt;&gt;'!I40*'Farms proportions'!$AL41</f>
        <v>1358485.518345719</v>
      </c>
      <c r="R40" s="118">
        <f>Q40/'National data'!$T42/'Assumptions data'!$AA41</f>
        <v>6.7085704609665138</v>
      </c>
      <c r="S40" s="118">
        <f>P40*'National data'!$V42+R40*'National data'!$X41</f>
        <v>12760.109612409615</v>
      </c>
      <c r="T40" s="242">
        <f>'Supply calc &gt;&gt;&gt;'!K40*'Farms proportions'!$AK41</f>
        <v>6203579.7677716622</v>
      </c>
      <c r="U40" s="234">
        <f>T40/'National data'!$S42/'Assumptions data'!$AA41</f>
        <v>118.16342414803167</v>
      </c>
      <c r="V40" s="230">
        <f>'Supply calc &gt;&gt;&gt;'!K40*'Farms proportions'!$AL41</f>
        <v>5136688.3971121367</v>
      </c>
      <c r="W40" s="118">
        <f>V40/'National data'!$T42/'Assumptions data'!$AA41</f>
        <v>25.36636245487475</v>
      </c>
      <c r="X40" s="118">
        <f>U40*'National data'!$V42+W40*'National data'!$X41</f>
        <v>48248.366365921858</v>
      </c>
      <c r="Y40" s="242">
        <f>'Supply calc &gt;&gt;&gt;'!M40*'Farms proportions'!$AK41</f>
        <v>29694.90091176999</v>
      </c>
      <c r="Z40" s="234">
        <f>Y40/'National data'!$S42/'Assumptions data'!$AA41</f>
        <v>0.5656171602241904</v>
      </c>
      <c r="AA40" s="230">
        <f>'Supply calc &gt;&gt;&gt;'!M40*'Farms proportions'!$AL41</f>
        <v>24587.973182727983</v>
      </c>
      <c r="AB40" s="118">
        <f>AA40/'National data'!$T42/'Assumptions data'!$AA41</f>
        <v>0.12142208979124931</v>
      </c>
      <c r="AC40" s="118">
        <f>Z40*'National data'!$V42+AB40*'National data'!$X41</f>
        <v>230.95221017935989</v>
      </c>
      <c r="AD40" s="191">
        <f>'Supply calc &gt;&gt;&gt;'!O40*'Farms proportions'!AK41</f>
        <v>2141979.2435000585</v>
      </c>
      <c r="AE40" s="118">
        <f>AD40/'National data'!$S42/'Assumptions data'!$AA41</f>
        <v>40.799604638096355</v>
      </c>
      <c r="AF40" s="240">
        <f>'Supply calc &gt;&gt;&gt;'!O40*'Farms proportions'!AL41</f>
        <v>1773601.7491226629</v>
      </c>
      <c r="AG40" s="118">
        <f>AF40/'National data'!$T42/'Assumptions data'!$AA41</f>
        <v>8.7585271561612981</v>
      </c>
      <c r="AH40" s="178">
        <f>AE40*'National data'!V41+AG40*'National data'!X41</f>
        <v>16659.252102389491</v>
      </c>
      <c r="AI40" s="191">
        <f>'Supply calc &gt;&gt;&gt;'!Q40*'Farms proportions'!$AK41</f>
        <v>1716520.0076430032</v>
      </c>
      <c r="AJ40" s="118">
        <f>AI40/'National data'!$S42/'Assumptions data'!$AA41</f>
        <v>32.695619193200066</v>
      </c>
      <c r="AK40" s="240">
        <f>'Supply calc &gt;&gt;&gt;'!Q40*'Farms proportions'!$AL41</f>
        <v>1421312.9735958593</v>
      </c>
      <c r="AL40" s="118">
        <f>AK40/'National data'!$T42/'Assumptions data'!$AA41</f>
        <v>7.0188294992388114</v>
      </c>
      <c r="AM40" s="178">
        <f>AJ40*'National data'!$V41+AL40*'National data'!$X41</f>
        <v>13350.241200000473</v>
      </c>
      <c r="AN40" s="191">
        <f>'Supply calc &gt;&gt;&gt;'!S40*'Farms proportions'!$AK41</f>
        <v>356672.73006486468</v>
      </c>
      <c r="AO40" s="118">
        <f>AN40/'National data'!$S42/'Assumptions data'!$AA41</f>
        <v>6.7937662869498041</v>
      </c>
      <c r="AP40" s="240">
        <f>'Supply calc &gt;&gt;&gt;'!S40*'Farms proportions'!$AL41</f>
        <v>295332.16992043285</v>
      </c>
      <c r="AQ40" s="118">
        <f>AP40/'National data'!$T42/'Assumptions data'!$AA41</f>
        <v>1.4584304687428782</v>
      </c>
      <c r="AR40" s="178">
        <f>AO40*'National data'!$V41+AQ40*'National data'!$X41</f>
        <v>2774.023579467022</v>
      </c>
      <c r="AS40" s="191">
        <f>'Supply calc &gt;&gt;&gt;'!U40*'Farms proportions'!$AK41</f>
        <v>546847.76668488944</v>
      </c>
      <c r="AT40" s="118">
        <f>AS40/'National data'!$S42/'Assumptions data'!$AA41</f>
        <v>10.416147936855038</v>
      </c>
      <c r="AU40" s="240">
        <f>'Supply calc &gt;&gt;&gt;'!U40*'Farms proportions'!$AL41</f>
        <v>452800.91225875379</v>
      </c>
      <c r="AV40" s="118">
        <f>AU40/'National data'!$T42/'Assumptions data'!$AA41</f>
        <v>2.2360538876975498</v>
      </c>
      <c r="AW40" s="178">
        <f>AT40*'National data'!$V41+AV40*'National data'!$X41</f>
        <v>4253.1106846516905</v>
      </c>
      <c r="AX40" s="191">
        <f>'Supply calc &gt;&gt;&gt;'!W40*'Farms proportions'!$AK41</f>
        <v>13153.808804388347</v>
      </c>
      <c r="AY40" s="118">
        <f>AX40/'National data'!$S42/'Assumptions data'!$AA41</f>
        <v>0.25054873913120662</v>
      </c>
      <c r="AZ40" s="240">
        <f>'Supply calc &gt;&gt;&gt;'!W40*'Farms proportions'!$AL41</f>
        <v>10891.617355248951</v>
      </c>
      <c r="BA40" s="118">
        <f>AZ40/'National data'!$T42/'Assumptions data'!$AA41</f>
        <v>5.3785764717278778E-2</v>
      </c>
      <c r="BB40" s="118">
        <f>AY40*'National data'!$V41+BA40*'National data'!$X41</f>
        <v>102.303800395781</v>
      </c>
      <c r="BC40" s="78">
        <f>'Supply calc &gt;&gt;&gt;'!Y40*'Farms proportions'!AK41</f>
        <v>1912769.2032620572</v>
      </c>
      <c r="BD40" s="234">
        <f>BC40/'National data'!$S42/'Assumptions data'!$AA41</f>
        <v>36.433699109753476</v>
      </c>
      <c r="BE40" s="118">
        <f>'Supply calc &gt;&gt;&gt;'!Y40*'Farms proportions'!AL41</f>
        <v>1583811.2413405625</v>
      </c>
      <c r="BF40" s="234">
        <f>BE40/'National data'!$T42/'Assumptions data'!$AA41</f>
        <v>7.8212900806941361</v>
      </c>
      <c r="BG40" s="235">
        <f>BD40*'National data'!$V41+BF40*'National data'!$X41</f>
        <v>14876.570101006408</v>
      </c>
      <c r="BH40" s="118">
        <f>'Supply calc &gt;&gt;&gt;'!F40*'National data'!Z42/1000000</f>
        <v>7573.3894921856727</v>
      </c>
      <c r="BI40" s="192">
        <f>'Supply calc &gt;&gt;&gt;'!F40*Multipliers!E40</f>
        <v>981544340.73347735</v>
      </c>
      <c r="BJ40" s="247">
        <f>'Supply calc &gt;&gt;&gt;'!H40*'National data'!$Z42/1000000</f>
        <v>1649.7248858471539</v>
      </c>
      <c r="BK40" s="229">
        <f>'Supply calc &gt;&gt;&gt;'!H40*Multipliers!$E40</f>
        <v>213811547.27896264</v>
      </c>
      <c r="BL40" s="247">
        <f>'Supply calc &gt;&gt;&gt;'!J40*'National data'!$Z42/1000000</f>
        <v>1283.5492709719117</v>
      </c>
      <c r="BM40" s="229">
        <f>'Supply calc &gt;&gt;&gt;'!J40*Multipliers!$E40</f>
        <v>166353589.00727367</v>
      </c>
      <c r="BN40" s="247">
        <f>'Supply calc &gt;&gt;&gt;'!L40*'National data'!$Z42/1000000</f>
        <v>4853.3403987640222</v>
      </c>
      <c r="BO40" s="229">
        <f>'Supply calc &gt;&gt;&gt;'!L40*Multipliers!$E40</f>
        <v>629014103.52330422</v>
      </c>
      <c r="BP40" s="247">
        <f>'Supply calc &gt;&gt;&gt;'!N40*'National data'!$Z42/1000000</f>
        <v>23.231661013066304</v>
      </c>
      <c r="BQ40" s="229">
        <f>'Supply calc &gt;&gt;&gt;'!N40*Multipliers!$E40</f>
        <v>3010924.6879144595</v>
      </c>
      <c r="BR40" s="118">
        <f>'Supply calc &gt;&gt;&gt;'!P40*'National data'!Z42/1000000</f>
        <v>826.46315909583006</v>
      </c>
      <c r="BS40" s="192">
        <f>'Supply calc &gt;&gt;&gt;'!P40*Multipliers!E40</f>
        <v>107113233.44352505</v>
      </c>
      <c r="BT40" s="118">
        <f>'Supply calc &gt;&gt;&gt;'!R40*'National data'!$Z42/1000000</f>
        <v>662.30359256410611</v>
      </c>
      <c r="BU40" s="192">
        <f>'Supply calc &gt;&gt;&gt;'!R40*Multipliers!$E40</f>
        <v>85837436.962605834</v>
      </c>
      <c r="BV40" s="118">
        <f>'Supply calc &gt;&gt;&gt;'!T40*'National data'!$Z42/1000000</f>
        <v>137.6189205134724</v>
      </c>
      <c r="BW40" s="240">
        <f>'Supply calc &gt;&gt;&gt;'!T40*Multipliers!$E40</f>
        <v>17836012.890559182</v>
      </c>
      <c r="BX40" s="78">
        <f>'Supply calc &gt;&gt;&gt;'!V40*'National data'!$Z42/1000000</f>
        <v>210.99622424930416</v>
      </c>
      <c r="BY40" s="192">
        <f>'Supply calc &gt;&gt;&gt;'!V40*Multipliers!$E40</f>
        <v>27346031.792201769</v>
      </c>
      <c r="BZ40" s="118">
        <f>'Supply calc &gt;&gt;&gt;'!X40*'National data'!$Z42/1000000</f>
        <v>5.07527718188976</v>
      </c>
      <c r="CA40" s="192">
        <f>'Supply calc &gt;&gt;&gt;'!X40*Multipliers!$E40</f>
        <v>657778.07950822264</v>
      </c>
      <c r="CB40" s="234">
        <f>'Supply calc &gt;&gt;&gt;'!Z40*'National data'!$Z42/1000000</f>
        <v>738.02455516144266</v>
      </c>
      <c r="CC40" s="229">
        <f>'Supply calc &gt;&gt;&gt;'!Z40*Multipliers!$E40</f>
        <v>95651204.284225166</v>
      </c>
    </row>
    <row r="41" spans="1:81">
      <c r="A41" s="9">
        <v>40</v>
      </c>
      <c r="B41" s="1" t="s">
        <v>508</v>
      </c>
      <c r="C41" s="1" t="s">
        <v>509</v>
      </c>
      <c r="D41" s="1">
        <v>0</v>
      </c>
      <c r="E41" s="191">
        <f>'Supply calc &gt;&gt;&gt;'!E41*'Farms proportions'!AK42</f>
        <v>35148820.439934045</v>
      </c>
      <c r="F41" s="118">
        <f>E41/'National data'!$S43/'Assumptions data'!$AA42</f>
        <v>669.50134171302943</v>
      </c>
      <c r="G41" s="240">
        <f>'Supply calc &gt;&gt;&gt;'!E41*'Farms proportions'!AL42</f>
        <v>65197661.68849095</v>
      </c>
      <c r="H41" s="118">
        <f>G41/'National data'!$T43/'Assumptions data'!$AA42</f>
        <v>321.96376142464669</v>
      </c>
      <c r="I41" s="118">
        <f>F41*'National data'!V43+H41*'National data'!X42</f>
        <v>420596.87687246798</v>
      </c>
      <c r="J41" s="242">
        <f>'Supply calc &gt;&gt;&gt;'!G41*'Farms proportions'!$AK42</f>
        <v>8145039.223711811</v>
      </c>
      <c r="K41" s="234">
        <f>J41/'National data'!$S43/'Assumptions data'!$AA42</f>
        <v>155.14360426117736</v>
      </c>
      <c r="L41" s="230">
        <f>'Supply calc &gt;&gt;&gt;'!G41*'Farms proportions'!$AL42</f>
        <v>15108259.824950416</v>
      </c>
      <c r="M41" s="118">
        <f>L41/'National data'!$T43/'Assumptions data'!$AA42</f>
        <v>74.608690493582301</v>
      </c>
      <c r="N41" s="118">
        <f>K41*'National data'!$V43+M41*'National data'!$X42</f>
        <v>97464.950932030944</v>
      </c>
      <c r="O41" s="242">
        <f>'Supply calc &gt;&gt;&gt;'!I41*'Farms proportions'!$AK42</f>
        <v>7759440.7016701326</v>
      </c>
      <c r="P41" s="234">
        <f>O41/'National data'!$S43/'Assumptions data'!$AA42</f>
        <v>147.79887050800252</v>
      </c>
      <c r="Q41" s="230">
        <f>'Supply calc &gt;&gt;&gt;'!I41*'Farms proportions'!$AL42</f>
        <v>14393011.868603844</v>
      </c>
      <c r="R41" s="118">
        <f>Q41/'National data'!$T43/'Assumptions data'!$AA42</f>
        <v>71.076601820265907</v>
      </c>
      <c r="S41" s="118">
        <f>P41*'National data'!$V43+R41*'National data'!$X42</f>
        <v>92850.812190888217</v>
      </c>
      <c r="T41" s="242">
        <f>'Supply calc &gt;&gt;&gt;'!K41*'Farms proportions'!$AK42</f>
        <v>19729742.467051294</v>
      </c>
      <c r="U41" s="234">
        <f>T41/'National data'!$S43/'Assumptions data'!$AA42</f>
        <v>375.80461842002467</v>
      </c>
      <c r="V41" s="230">
        <f>'Supply calc &gt;&gt;&gt;'!K41*'Farms proportions'!$AL42</f>
        <v>36596763.659994863</v>
      </c>
      <c r="W41" s="118">
        <f>V41/'National data'!$T43/'Assumptions data'!$AA42</f>
        <v>180.72475881478945</v>
      </c>
      <c r="X41" s="118">
        <f>U41*'National data'!$V43+W41*'National data'!$X42</f>
        <v>236089.5176360418</v>
      </c>
      <c r="Y41" s="242">
        <f>'Supply calc &gt;&gt;&gt;'!M41*'Farms proportions'!$AK42</f>
        <v>886452.74737001234</v>
      </c>
      <c r="Z41" s="234">
        <f>Y41/'National data'!$S43/'Assumptions data'!$AA42</f>
        <v>16.884814235619285</v>
      </c>
      <c r="AA41" s="230">
        <f>'Supply calc &gt;&gt;&gt;'!M41*'Farms proportions'!$AL42</f>
        <v>1644284.092680404</v>
      </c>
      <c r="AB41" s="118">
        <f>AA41/'National data'!$T43/'Assumptions data'!$AA42</f>
        <v>8.1199214453353292</v>
      </c>
      <c r="AC41" s="118">
        <f>Z41*'National data'!$V43+AB41*'National data'!$X42</f>
        <v>10607.447202275036</v>
      </c>
      <c r="AD41" s="191">
        <f>'Supply calc &gt;&gt;&gt;'!O41*'Farms proportions'!AK42</f>
        <v>10239111.078960355</v>
      </c>
      <c r="AE41" s="118">
        <f>AD41/'National data'!$S43/'Assumptions data'!$AA42</f>
        <v>195.03068721829248</v>
      </c>
      <c r="AF41" s="240">
        <f>'Supply calc &gt;&gt;&gt;'!O41*'Farms proportions'!AL42</f>
        <v>18992560.540054053</v>
      </c>
      <c r="AG41" s="118">
        <f>AF41/'National data'!$T43/'Assumptions data'!$AA42</f>
        <v>93.790422420020022</v>
      </c>
      <c r="AH41" s="178">
        <f>AE41*'National data'!V42+AG41*'National data'!X42</f>
        <v>122522.9776663621</v>
      </c>
      <c r="AI41" s="191">
        <f>'Supply calc &gt;&gt;&gt;'!Q41*'Farms proportions'!$AK42</f>
        <v>6846521.0421087267</v>
      </c>
      <c r="AJ41" s="118">
        <f>AI41/'National data'!$S43/'Assumptions data'!$AA42</f>
        <v>130.40992461159479</v>
      </c>
      <c r="AK41" s="240">
        <f>'Supply calc &gt;&gt;&gt;'!Q41*'Farms proportions'!$AL42</f>
        <v>12699634.214165306</v>
      </c>
      <c r="AL41" s="118">
        <f>AK41/'National data'!$T43/'Assumptions data'!$AA42</f>
        <v>62.7142430329151</v>
      </c>
      <c r="AM41" s="178">
        <f>AJ41*'National data'!$V42+AL41*'National data'!$X42</f>
        <v>81926.65733046626</v>
      </c>
      <c r="AN41" s="191">
        <f>'Supply calc &gt;&gt;&gt;'!S41*'Farms proportions'!$AK42</f>
        <v>2406877.2569468962</v>
      </c>
      <c r="AO41" s="118">
        <f>AN41/'National data'!$S43/'Assumptions data'!$AA42</f>
        <v>45.845281084702791</v>
      </c>
      <c r="AP41" s="240">
        <f>'Supply calc &gt;&gt;&gt;'!S41*'Farms proportions'!$AL42</f>
        <v>4464524.4750762759</v>
      </c>
      <c r="AQ41" s="118">
        <f>AP41/'National data'!$T43/'Assumptions data'!$AA42</f>
        <v>22.047034444821115</v>
      </c>
      <c r="AR41" s="178">
        <f>AO41*'National data'!$V42+AQ41*'National data'!$X42</f>
        <v>28801.110381988583</v>
      </c>
      <c r="AS41" s="191">
        <f>'Supply calc &gt;&gt;&gt;'!U41*'Farms proportions'!$AK42</f>
        <v>3045265.9843571116</v>
      </c>
      <c r="AT41" s="118">
        <f>AS41/'National data'!$S43/'Assumptions data'!$AA42</f>
        <v>58.005066368706892</v>
      </c>
      <c r="AU41" s="240">
        <f>'Supply calc &gt;&gt;&gt;'!U41*'Farms proportions'!$AL42</f>
        <v>5648673.807955442</v>
      </c>
      <c r="AV41" s="118">
        <f>AU41/'National data'!$T43/'Assumptions data'!$AA42</f>
        <v>27.8946854713849</v>
      </c>
      <c r="AW41" s="178">
        <f>AT41*'National data'!$V42+AV41*'National data'!$X42</f>
        <v>36440.180530535217</v>
      </c>
      <c r="AX41" s="191">
        <f>'Supply calc &gt;&gt;&gt;'!W41*'Farms proportions'!$AK42</f>
        <v>158577.4561455645</v>
      </c>
      <c r="AY41" s="118">
        <f>AX41/'National data'!$S43/'Assumptions data'!$AA42</f>
        <v>3.0205229742012287</v>
      </c>
      <c r="AZ41" s="240">
        <f>'Supply calc &gt;&gt;&gt;'!W41*'Farms proportions'!$AL42</f>
        <v>294145.84067958052</v>
      </c>
      <c r="BA41" s="118">
        <f>AZ41/'National data'!$T43/'Assumptions data'!$AA42</f>
        <v>1.4525720527386694</v>
      </c>
      <c r="BB41" s="118">
        <f>AY41*'National data'!$V42+BA41*'National data'!$X42</f>
        <v>1897.5653226026247</v>
      </c>
      <c r="BC41" s="78">
        <f>'Supply calc &gt;&gt;&gt;'!Y41*'Farms proportions'!AK42</f>
        <v>10827126.560469951</v>
      </c>
      <c r="BD41" s="234">
        <f>BC41/'National data'!$S43/'Assumptions data'!$AA42</f>
        <v>206.23098210418956</v>
      </c>
      <c r="BE41" s="118">
        <f>'Supply calc &gt;&gt;&gt;'!Y41*'Farms proportions'!AL42</f>
        <v>20083272.374796059</v>
      </c>
      <c r="BF41" s="234">
        <f>BE41/'National data'!$T43/'Assumptions data'!$AA42</f>
        <v>99.176653702696584</v>
      </c>
      <c r="BG41" s="235">
        <f>BD41*'National data'!$V42+BF41*'National data'!$X42</f>
        <v>129559.27282449516</v>
      </c>
      <c r="BH41" s="118">
        <f>'Supply calc &gt;&gt;&gt;'!F41*'National data'!Z43/1000000</f>
        <v>35523.20119017153</v>
      </c>
      <c r="BI41" s="192">
        <f>'Supply calc &gt;&gt;&gt;'!F41*Multipliers!E41</f>
        <v>4603961955.0699797</v>
      </c>
      <c r="BJ41" s="247">
        <f>'Supply calc &gt;&gt;&gt;'!H41*'National data'!$Z43/1000000</f>
        <v>8231.7945075910538</v>
      </c>
      <c r="BK41" s="229">
        <f>'Supply calc &gt;&gt;&gt;'!H41*Multipliers!$E41</f>
        <v>1066876505.0766031</v>
      </c>
      <c r="BL41" s="247">
        <f>'Supply calc &gt;&gt;&gt;'!J41*'National data'!$Z43/1000000</f>
        <v>7842.0888587051277</v>
      </c>
      <c r="BM41" s="229">
        <f>'Supply calc &gt;&gt;&gt;'!J41*Multipliers!$E41</f>
        <v>1016368951.6739252</v>
      </c>
      <c r="BN41" s="247">
        <f>'Supply calc &gt;&gt;&gt;'!L41*'National data'!$Z43/1000000</f>
        <v>19939.889939835753</v>
      </c>
      <c r="BO41" s="229">
        <f>'Supply calc &gt;&gt;&gt;'!L41*Multipliers!$E41</f>
        <v>2584296786.1997228</v>
      </c>
      <c r="BP41" s="247">
        <f>'Supply calc &gt;&gt;&gt;'!N41*'National data'!$Z43/1000000</f>
        <v>895.8946245214122</v>
      </c>
      <c r="BQ41" s="229">
        <f>'Supply calc &gt;&gt;&gt;'!N41*Multipliers!$E41</f>
        <v>116111854.47412573</v>
      </c>
      <c r="BR41" s="118">
        <f>'Supply calc &gt;&gt;&gt;'!P41*'National data'!Z43/1000000</f>
        <v>5103.5626945502336</v>
      </c>
      <c r="BS41" s="192">
        <f>'Supply calc &gt;&gt;&gt;'!P41*Multipliers!E41</f>
        <v>661444005.43284059</v>
      </c>
      <c r="BT41" s="118">
        <f>'Supply calc &gt;&gt;&gt;'!R41*'National data'!$Z43/1000000</f>
        <v>3412.566687528029</v>
      </c>
      <c r="BU41" s="192">
        <f>'Supply calc &gt;&gt;&gt;'!R41*Multipliers!$E41</f>
        <v>442283540.675529</v>
      </c>
      <c r="BV41" s="118">
        <f>'Supply calc &gt;&gt;&gt;'!T41*'National data'!$Z43/1000000</f>
        <v>1199.679238186643</v>
      </c>
      <c r="BW41" s="240">
        <f>'Supply calc &gt;&gt;&gt;'!T41*Multipliers!$E41</f>
        <v>155483666.61354855</v>
      </c>
      <c r="BX41" s="78">
        <f>'Supply calc &gt;&gt;&gt;'!V41*'National data'!$Z43/1000000</f>
        <v>1517.8764790122586</v>
      </c>
      <c r="BY41" s="192">
        <f>'Supply calc &gt;&gt;&gt;'!V41*Multipliers!$E41</f>
        <v>196723418.15302122</v>
      </c>
      <c r="BZ41" s="118">
        <f>'Supply calc &gt;&gt;&gt;'!X41*'National data'!$Z43/1000000</f>
        <v>79.041040100070205</v>
      </c>
      <c r="CA41" s="192">
        <f>'Supply calc &gt;&gt;&gt;'!X41*Multipliers!$E41</f>
        <v>10244063.86017281</v>
      </c>
      <c r="CB41" s="234">
        <f>'Supply calc &gt;&gt;&gt;'!Z41*'National data'!$Z43/1000000</f>
        <v>5396.651992254685</v>
      </c>
      <c r="CC41" s="229">
        <f>'Supply calc &gt;&gt;&gt;'!Z41*Multipliers!$E41</f>
        <v>699429657.93205333</v>
      </c>
    </row>
    <row r="42" spans="1:81">
      <c r="A42" s="9">
        <v>41</v>
      </c>
      <c r="B42" s="1" t="s">
        <v>513</v>
      </c>
      <c r="C42" s="1" t="s">
        <v>514</v>
      </c>
      <c r="D42" s="1">
        <v>0</v>
      </c>
      <c r="E42" s="191">
        <f>'Supply calc &gt;&gt;&gt;'!E42*'Farms proportions'!AK43</f>
        <v>375939.33867082751</v>
      </c>
      <c r="F42" s="118">
        <f>E42/'National data'!$S44/'Assumptions data'!$AA43</f>
        <v>7.1607493080157614</v>
      </c>
      <c r="G42" s="240">
        <f>'Supply calc &gt;&gt;&gt;'!E42*'Farms proportions'!AL43</f>
        <v>453192.35925927444</v>
      </c>
      <c r="H42" s="118">
        <f>G42/'National data'!$T44/'Assumptions data'!$AA43</f>
        <v>2.2379869593050592</v>
      </c>
      <c r="I42" s="118">
        <f>F42*'National data'!V44+H42*'National data'!X43</f>
        <v>3502.71031853762</v>
      </c>
      <c r="J42" s="242">
        <f>'Supply calc &gt;&gt;&gt;'!G42*'Farms proportions'!$AK43</f>
        <v>65022.100057012125</v>
      </c>
      <c r="K42" s="234">
        <f>J42/'National data'!$S44/'Assumptions data'!$AA43</f>
        <v>1.2385161915621357</v>
      </c>
      <c r="L42" s="230">
        <f>'Supply calc &gt;&gt;&gt;'!G42*'Farms proportions'!$AL43</f>
        <v>78383.706884774001</v>
      </c>
      <c r="M42" s="118">
        <f>L42/'National data'!$T44/'Assumptions data'!$AA43</f>
        <v>0.38708003399888397</v>
      </c>
      <c r="N42" s="118">
        <f>K42*'National data'!$V44+M42*'National data'!$X43</f>
        <v>605.82534833393152</v>
      </c>
      <c r="O42" s="242">
        <f>'Supply calc &gt;&gt;&gt;'!I42*'Farms proportions'!$AK43</f>
        <v>91133.015590110503</v>
      </c>
      <c r="P42" s="234">
        <f>O42/'National data'!$S44/'Assumptions data'!$AA43</f>
        <v>1.7358669636211526</v>
      </c>
      <c r="Q42" s="230">
        <f>'Supply calc &gt;&gt;&gt;'!I42*'Farms proportions'!$AL43</f>
        <v>109860.24098387157</v>
      </c>
      <c r="R42" s="118">
        <f>Q42/'National data'!$T44/'Assumptions data'!$AA43</f>
        <v>0.54251970856232878</v>
      </c>
      <c r="S42" s="118">
        <f>P42*'National data'!$V44+R42*'National data'!$X43</f>
        <v>849.10654786896976</v>
      </c>
      <c r="T42" s="242">
        <f>'Supply calc &gt;&gt;&gt;'!K42*'Farms proportions'!$AK43</f>
        <v>227487.17538311784</v>
      </c>
      <c r="U42" s="234">
        <f>T42/'National data'!$S44/'Assumptions data'!$AA43</f>
        <v>4.3330890549165302</v>
      </c>
      <c r="V42" s="230">
        <f>'Supply calc &gt;&gt;&gt;'!K42*'Farms proportions'!$AL43</f>
        <v>274234.26895841269</v>
      </c>
      <c r="W42" s="118">
        <f>V42/'National data'!$T44/'Assumptions data'!$AA43</f>
        <v>1.3542433034983343</v>
      </c>
      <c r="X42" s="118">
        <f>U42*'National data'!$V44+W42*'National data'!$X43</f>
        <v>2119.5485403753428</v>
      </c>
      <c r="Y42" s="242">
        <f>'Supply calc &gt;&gt;&gt;'!M42*'Farms proportions'!$AK43</f>
        <v>9826.4691242622193</v>
      </c>
      <c r="Z42" s="234">
        <f>Y42/'National data'!$S44/'Assumptions data'!$AA43</f>
        <v>0.1871708404621375</v>
      </c>
      <c r="AA42" s="230">
        <f>'Supply calc &gt;&gt;&gt;'!M42*'Farms proportions'!$AL43</f>
        <v>11845.742830100853</v>
      </c>
      <c r="AB42" s="118">
        <f>AA42/'National data'!$T44/'Assumptions data'!$AA43</f>
        <v>5.8497495457288169E-2</v>
      </c>
      <c r="AC42" s="118">
        <f>Z42*'National data'!$V44+AB42*'National data'!$X43</f>
        <v>91.555395394473791</v>
      </c>
      <c r="AD42" s="191">
        <f>'Supply calc &gt;&gt;&gt;'!O42*'Farms proportions'!AK43</f>
        <v>94088.80251573943</v>
      </c>
      <c r="AE42" s="118">
        <f>AD42/'National data'!$S44/'Assumptions data'!$AA43</f>
        <v>1.7921676669664655</v>
      </c>
      <c r="AF42" s="240">
        <f>'Supply calc &gt;&gt;&gt;'!O42*'Farms proportions'!AL43</f>
        <v>113423.42236049891</v>
      </c>
      <c r="AG42" s="118">
        <f>AF42/'National data'!$T44/'Assumptions data'!$AA43</f>
        <v>0.5601156659777724</v>
      </c>
      <c r="AH42" s="178">
        <f>AE42*'National data'!V43+AG42*'National data'!X43</f>
        <v>876.64627116689348</v>
      </c>
      <c r="AI42" s="191">
        <f>'Supply calc &gt;&gt;&gt;'!Q42*'Farms proportions'!$AK43</f>
        <v>55012.471281112215</v>
      </c>
      <c r="AJ42" s="118">
        <f>AI42/'National data'!$S44/'Assumptions data'!$AA43</f>
        <v>1.0478565958307089</v>
      </c>
      <c r="AK42" s="240">
        <f>'Supply calc &gt;&gt;&gt;'!Q42*'Farms proportions'!$AL43</f>
        <v>66317.166319218624</v>
      </c>
      <c r="AL42" s="118">
        <f>AK42/'National data'!$T44/'Assumptions data'!$AA43</f>
        <v>0.32749217935416602</v>
      </c>
      <c r="AM42" s="178">
        <f>AJ42*'National data'!$V43+AL42*'National data'!$X43</f>
        <v>512.56341378343484</v>
      </c>
      <c r="AN42" s="191">
        <f>'Supply calc &gt;&gt;&gt;'!S42*'Farms proportions'!$AK43</f>
        <v>28628.530163635005</v>
      </c>
      <c r="AO42" s="118">
        <f>AN42/'National data'!$S44/'Assumptions data'!$AA43</f>
        <v>0.54530533645019064</v>
      </c>
      <c r="AP42" s="240">
        <f>'Supply calc &gt;&gt;&gt;'!S42*'Farms proportions'!$AL43</f>
        <v>34511.501703585447</v>
      </c>
      <c r="AQ42" s="118">
        <f>AP42/'National data'!$T44/'Assumptions data'!$AA43</f>
        <v>0.17042716890659482</v>
      </c>
      <c r="AR42" s="178">
        <f>AO42*'National data'!$V43+AQ42*'National data'!$X43</f>
        <v>266.73837423684131</v>
      </c>
      <c r="AS42" s="191">
        <f>'Supply calc &gt;&gt;&gt;'!U42*'Farms proportions'!$AK43</f>
        <v>34113.316274552868</v>
      </c>
      <c r="AT42" s="118">
        <f>AS42/'National data'!$S44/'Assumptions data'!$AA43</f>
        <v>0.64977745284862609</v>
      </c>
      <c r="AU42" s="240">
        <f>'Supply calc &gt;&gt;&gt;'!U42*'Farms proportions'!$AL43</f>
        <v>41123.37468933811</v>
      </c>
      <c r="AV42" s="118">
        <f>AU42/'National data'!$T44/'Assumptions data'!$AA43</f>
        <v>0.20307839352759563</v>
      </c>
      <c r="AW42" s="178">
        <f>AT42*'National data'!$V43+AV42*'National data'!$X43</f>
        <v>317.84134466182661</v>
      </c>
      <c r="AX42" s="191">
        <f>'Supply calc &gt;&gt;&gt;'!W42*'Farms proportions'!$AK43</f>
        <v>2074.3055505442894</v>
      </c>
      <c r="AY42" s="118">
        <f>AX42/'National data'!$S44/'Assumptions data'!$AA43</f>
        <v>3.9510581915129322E-2</v>
      </c>
      <c r="AZ42" s="240">
        <f>'Supply calc &gt;&gt;&gt;'!W42*'Farms proportions'!$AL43</f>
        <v>2500.5614724956749</v>
      </c>
      <c r="BA42" s="118">
        <f>AZ42/'National data'!$T44/'Assumptions data'!$AA43</f>
        <v>1.2348451716028025E-2</v>
      </c>
      <c r="BB42" s="118">
        <f>AY42*'National data'!$V43+BA42*'National data'!$X43</f>
        <v>19.326765539834021</v>
      </c>
      <c r="BC42" s="78">
        <f>'Supply calc &gt;&gt;&gt;'!Y42*'Farms proportions'!AK43</f>
        <v>73494.36741137944</v>
      </c>
      <c r="BD42" s="234">
        <f>BC42/'National data'!$S44/'Assumptions data'!$AA43</f>
        <v>1.3998927125977036</v>
      </c>
      <c r="BE42" s="118">
        <f>'Supply calc &gt;&gt;&gt;'!Y42*'Farms proportions'!AL43</f>
        <v>88596.968535380307</v>
      </c>
      <c r="BF42" s="234">
        <f>BE42/'National data'!$T44/'Assumptions data'!$AA43</f>
        <v>0.43751589400187807</v>
      </c>
      <c r="BG42" s="235">
        <f>BD42*'National data'!$V43+BF42*'National data'!$X43</f>
        <v>684.76334505562079</v>
      </c>
      <c r="BH42" s="118">
        <f>'Supply calc &gt;&gt;&gt;'!F42*'National data'!Z44/1000000</f>
        <v>5904.1404706095664</v>
      </c>
      <c r="BI42" s="192">
        <f>'Supply calc &gt;&gt;&gt;'!F42*Multipliers!E42</f>
        <v>765202380.22907066</v>
      </c>
      <c r="BJ42" s="247">
        <f>'Supply calc &gt;&gt;&gt;'!H42*'National data'!$Z44/1000000</f>
        <v>1021.1743569798966</v>
      </c>
      <c r="BK42" s="229">
        <f>'Supply calc &gt;&gt;&gt;'!H42*Multipliers!$E42</f>
        <v>132348654.72454321</v>
      </c>
      <c r="BL42" s="247">
        <f>'Supply calc &gt;&gt;&gt;'!J42*'National data'!$Z44/1000000</f>
        <v>1431.2471992333615</v>
      </c>
      <c r="BM42" s="229">
        <f>'Supply calc &gt;&gt;&gt;'!J42*Multipliers!$E42</f>
        <v>185495885.30309597</v>
      </c>
      <c r="BN42" s="247">
        <f>'Supply calc &gt;&gt;&gt;'!L42*'National data'!$Z44/1000000</f>
        <v>3572.6940507818331</v>
      </c>
      <c r="BO42" s="229">
        <f>'Supply calc &gt;&gt;&gt;'!L42*Multipliers!$E42</f>
        <v>463036746.00855953</v>
      </c>
      <c r="BP42" s="247">
        <f>'Supply calc &gt;&gt;&gt;'!N42*'National data'!$Z44/1000000</f>
        <v>154.32504149439777</v>
      </c>
      <c r="BQ42" s="229">
        <f>'Supply calc &gt;&gt;&gt;'!N42*Multipliers!$E42</f>
        <v>20001199.102275286</v>
      </c>
      <c r="BR42" s="118">
        <f>'Supply calc &gt;&gt;&gt;'!P42*'National data'!Z44/1000000</f>
        <v>728.76366131197369</v>
      </c>
      <c r="BS42" s="192">
        <f>'Supply calc &gt;&gt;&gt;'!P42*Multipliers!E42</f>
        <v>94450952.011783749</v>
      </c>
      <c r="BT42" s="118">
        <f>'Supply calc &gt;&gt;&gt;'!R42*'National data'!$Z44/1000000</f>
        <v>426.09841890523143</v>
      </c>
      <c r="BU42" s="192">
        <f>'Supply calc &gt;&gt;&gt;'!R42*Multipliers!$E42</f>
        <v>55224215.274211437</v>
      </c>
      <c r="BV42" s="118">
        <f>'Supply calc &gt;&gt;&gt;'!T42*'National data'!$Z44/1000000</f>
        <v>221.74192786161592</v>
      </c>
      <c r="BW42" s="240">
        <f>'Supply calc &gt;&gt;&gt;'!T42*Multipliers!$E42</f>
        <v>28738721.892023891</v>
      </c>
      <c r="BX42" s="78">
        <f>'Supply calc &gt;&gt;&gt;'!V42*'National data'!$Z44/1000000</f>
        <v>264.22427114616255</v>
      </c>
      <c r="BY42" s="192">
        <f>'Supply calc &gt;&gt;&gt;'!V42*Multipliers!$E42</f>
        <v>34244619.043499924</v>
      </c>
      <c r="BZ42" s="118">
        <f>'Supply calc &gt;&gt;&gt;'!X42*'National data'!$Z44/1000000</f>
        <v>16.066508099532111</v>
      </c>
      <c r="CA42" s="192">
        <f>'Supply calc &gt;&gt;&gt;'!X42*Multipliers!$E42</f>
        <v>2082289.5899802875</v>
      </c>
      <c r="CB42" s="234">
        <f>'Supply calc &gt;&gt;&gt;'!Z42*'National data'!$Z44/1000000</f>
        <v>569.24971780318492</v>
      </c>
      <c r="CC42" s="229">
        <f>'Supply calc &gt;&gt;&gt;'!Z42*Multipliers!$E42</f>
        <v>73777248.555665165</v>
      </c>
    </row>
    <row r="43" spans="1:81">
      <c r="A43" s="9">
        <v>42</v>
      </c>
      <c r="B43" s="1" t="s">
        <v>518</v>
      </c>
      <c r="C43" s="1" t="s">
        <v>519</v>
      </c>
      <c r="D43" s="1">
        <v>0</v>
      </c>
      <c r="E43" s="191">
        <f>'Supply calc &gt;&gt;&gt;'!E43*'Farms proportions'!AK44</f>
        <v>47774238.437806964</v>
      </c>
      <c r="F43" s="118">
        <f>E43/'National data'!$S45/'Assumptions data'!$AA44</f>
        <v>909.98549405346603</v>
      </c>
      <c r="G43" s="240">
        <f>'Supply calc &gt;&gt;&gt;'!E43*'Farms proportions'!AL44</f>
        <v>86356520.009790197</v>
      </c>
      <c r="H43" s="118">
        <f>G43/'National data'!$T45/'Assumptions data'!$AA44</f>
        <v>426.45195066563065</v>
      </c>
      <c r="I43" s="118">
        <f>F43*'National data'!V45+H43*'National data'!X44</f>
        <v>562455.96037616162</v>
      </c>
      <c r="J43" s="242">
        <f>'Supply calc &gt;&gt;&gt;'!G43*'Farms proportions'!$AK44</f>
        <v>9878750.3675003722</v>
      </c>
      <c r="K43" s="234">
        <f>J43/'National data'!$S45/'Assumptions data'!$AA44</f>
        <v>188.16667366667374</v>
      </c>
      <c r="L43" s="230">
        <f>'Supply calc &gt;&gt;&gt;'!G43*'Farms proportions'!$AL44</f>
        <v>17856789.175055839</v>
      </c>
      <c r="M43" s="118">
        <f>L43/'National data'!$T45/'Assumptions data'!$AA44</f>
        <v>88.18167493854736</v>
      </c>
      <c r="N43" s="118">
        <f>K43*'National data'!$V45+M43*'National data'!$X44</f>
        <v>116304.56511624175</v>
      </c>
      <c r="O43" s="242">
        <f>'Supply calc &gt;&gt;&gt;'!I43*'Farms proportions'!$AK44</f>
        <v>7970302.2990763998</v>
      </c>
      <c r="P43" s="234">
        <f>O43/'National data'!$S45/'Assumptions data'!$AA44</f>
        <v>151.8152818871695</v>
      </c>
      <c r="Q43" s="230">
        <f>'Supply calc &gt;&gt;&gt;'!I43*'Farms proportions'!$AL44</f>
        <v>14407086.171981335</v>
      </c>
      <c r="R43" s="118">
        <f>Q43/'National data'!$T45/'Assumptions data'!$AA44</f>
        <v>71.14610455299426</v>
      </c>
      <c r="S43" s="118">
        <f>P43*'National data'!$V45+R43*'National data'!$X44</f>
        <v>93836.012476709409</v>
      </c>
      <c r="T43" s="242">
        <f>'Supply calc &gt;&gt;&gt;'!K43*'Farms proportions'!$AK44</f>
        <v>22849001.996535003</v>
      </c>
      <c r="U43" s="234">
        <f>T43/'National data'!$S45/'Assumptions data'!$AA44</f>
        <v>435.21908564828578</v>
      </c>
      <c r="V43" s="230">
        <f>'Supply calc &gt;&gt;&gt;'!K43*'Farms proportions'!$AL44</f>
        <v>41301763.516046271</v>
      </c>
      <c r="W43" s="118">
        <f>V43/'National data'!$T45/'Assumptions data'!$AA44</f>
        <v>203.95932600516679</v>
      </c>
      <c r="X43" s="118">
        <f>U43*'National data'!$V45+W43*'National data'!$X44</f>
        <v>269006.01206502179</v>
      </c>
      <c r="Y43" s="242">
        <f>'Supply calc &gt;&gt;&gt;'!M43*'Farms proportions'!$AK44</f>
        <v>524801.58066222456</v>
      </c>
      <c r="Z43" s="234">
        <f>Y43/'National data'!$S45/'Assumptions data'!$AA44</f>
        <v>9.9962205840423728</v>
      </c>
      <c r="AA43" s="230">
        <f>'Supply calc &gt;&gt;&gt;'!M43*'Farms proportions'!$AL44</f>
        <v>948629.21280524542</v>
      </c>
      <c r="AB43" s="118">
        <f>AA43/'National data'!$T45/'Assumptions data'!$AA44</f>
        <v>4.6845887052110893</v>
      </c>
      <c r="AC43" s="118">
        <f>Z43*'National data'!$V45+AB43*'National data'!$X44</f>
        <v>6178.5972254181479</v>
      </c>
      <c r="AD43" s="191">
        <f>'Supply calc &gt;&gt;&gt;'!O43*'Farms proportions'!AK44</f>
        <v>14967183.145915866</v>
      </c>
      <c r="AE43" s="118">
        <f>AD43/'National data'!$S45/'Assumptions data'!$AA44</f>
        <v>285.08920277934982</v>
      </c>
      <c r="AF43" s="240">
        <f>'Supply calc &gt;&gt;&gt;'!O43*'Farms proportions'!AL44</f>
        <v>27054619.667314779</v>
      </c>
      <c r="AG43" s="118">
        <f>AF43/'National data'!$T45/'Assumptions data'!$AA44</f>
        <v>133.60306008550509</v>
      </c>
      <c r="AH43" s="178">
        <f>AE43*'National data'!V44+AG43*'National data'!X44</f>
        <v>176211.73347265701</v>
      </c>
      <c r="AI43" s="191">
        <f>'Supply calc &gt;&gt;&gt;'!Q43*'Farms proportions'!$AK44</f>
        <v>8987064.4237226155</v>
      </c>
      <c r="AJ43" s="118">
        <f>AI43/'National data'!$S45/'Assumptions data'!$AA44</f>
        <v>171.18217949947839</v>
      </c>
      <c r="AK43" s="240">
        <f>'Supply calc &gt;&gt;&gt;'!Q43*'Farms proportions'!$AL44</f>
        <v>16244981.272632955</v>
      </c>
      <c r="AL43" s="118">
        <f>AK43/'National data'!$T45/'Assumptions data'!$AA44</f>
        <v>80.22212974139731</v>
      </c>
      <c r="AM43" s="178">
        <f>AJ43*'National data'!$V44+AL43*'National data'!$X44</f>
        <v>105806.56263077368</v>
      </c>
      <c r="AN43" s="191">
        <f>'Supply calc &gt;&gt;&gt;'!S43*'Farms proportions'!$AK44</f>
        <v>4183295.4750302983</v>
      </c>
      <c r="AO43" s="118">
        <f>AN43/'National data'!$S45/'Assumptions data'!$AA44</f>
        <v>79.681818572005682</v>
      </c>
      <c r="AP43" s="240">
        <f>'Supply calc &gt;&gt;&gt;'!S43*'Farms proportions'!$AL44</f>
        <v>7561707.9666608246</v>
      </c>
      <c r="AQ43" s="118">
        <f>AP43/'National data'!$T45/'Assumptions data'!$AA44</f>
        <v>37.341767736596665</v>
      </c>
      <c r="AR43" s="178">
        <f>AO43*'National data'!$V44+AQ43*'National data'!$X44</f>
        <v>49250.800240562152</v>
      </c>
      <c r="AS43" s="191">
        <f>'Supply calc &gt;&gt;&gt;'!U43*'Farms proportions'!$AK44</f>
        <v>3501704.1252610716</v>
      </c>
      <c r="AT43" s="118">
        <f>AS43/'National data'!$S45/'Assumptions data'!$AA44</f>
        <v>66.699126195448983</v>
      </c>
      <c r="AU43" s="240">
        <f>'Supply calc &gt;&gt;&gt;'!U43*'Farms proportions'!$AL44</f>
        <v>6329666.2019036412</v>
      </c>
      <c r="AV43" s="118">
        <f>AU43/'National data'!$T45/'Assumptions data'!$AA44</f>
        <v>31.257610873598228</v>
      </c>
      <c r="AW43" s="178">
        <f>AT43*'National data'!$V44+AV43*'National data'!$X44</f>
        <v>41226.284732740853</v>
      </c>
      <c r="AX43" s="191">
        <f>'Supply calc &gt;&gt;&gt;'!W43*'Farms proportions'!$AK44</f>
        <v>137635.51730896856</v>
      </c>
      <c r="AY43" s="118">
        <f>AX43/'National data'!$S45/'Assumptions data'!$AA44</f>
        <v>2.6216289011232106</v>
      </c>
      <c r="AZ43" s="240">
        <f>'Supply calc &gt;&gt;&gt;'!W43*'Farms proportions'!$AL44</f>
        <v>248789.40393833249</v>
      </c>
      <c r="BA43" s="118">
        <f>AZ43/'National data'!$T45/'Assumptions data'!$AA44</f>
        <v>1.2285896490781854</v>
      </c>
      <c r="BB43" s="118">
        <f>AY43*'National data'!$V44+BA43*'National data'!$X44</f>
        <v>1620.4113262980427</v>
      </c>
      <c r="BC43" s="78">
        <f>'Supply calc &gt;&gt;&gt;'!Y43*'Farms proportions'!AK44</f>
        <v>10466213.341615951</v>
      </c>
      <c r="BD43" s="234">
        <f>BC43/'National data'!$S45/'Assumptions data'!$AA44</f>
        <v>199.3564446022086</v>
      </c>
      <c r="BE43" s="118">
        <f>'Supply calc &gt;&gt;&gt;'!Y43*'Farms proportions'!AL44</f>
        <v>18918684.869013689</v>
      </c>
      <c r="BF43" s="234">
        <f>BE43/'National data'!$T45/'Assumptions data'!$AA44</f>
        <v>93.425604291425628</v>
      </c>
      <c r="BG43" s="235">
        <f>BD43*'National data'!$V44+BF43*'National data'!$X44</f>
        <v>123220.88784782776</v>
      </c>
      <c r="BH43" s="118">
        <f>'Supply calc &gt;&gt;&gt;'!F43*'National data'!Z45/1000000</f>
        <v>53537.40676588098</v>
      </c>
      <c r="BI43" s="192">
        <f>'Supply calc &gt;&gt;&gt;'!F43*Multipliers!E43</f>
        <v>8034262952.5878687</v>
      </c>
      <c r="BJ43" s="247">
        <f>'Supply calc &gt;&gt;&gt;'!H43*'National data'!$Z45/1000000</f>
        <v>11070.457511362927</v>
      </c>
      <c r="BK43" s="229">
        <f>'Supply calc &gt;&gt;&gt;'!H43*Multipliers!$E43</f>
        <v>1661323773.874382</v>
      </c>
      <c r="BL43" s="247">
        <f>'Supply calc &gt;&gt;&gt;'!J43*'National data'!$Z45/1000000</f>
        <v>8931.786883179404</v>
      </c>
      <c r="BM43" s="229">
        <f>'Supply calc &gt;&gt;&gt;'!J43*Multipliers!$E43</f>
        <v>1340377294.8836758</v>
      </c>
      <c r="BN43" s="247">
        <f>'Supply calc &gt;&gt;&gt;'!L43*'National data'!$Z45/1000000</f>
        <v>25605.354561023418</v>
      </c>
      <c r="BO43" s="229">
        <f>'Supply calc &gt;&gt;&gt;'!L43*Multipliers!$E43</f>
        <v>3842549797.6979213</v>
      </c>
      <c r="BP43" s="247">
        <f>'Supply calc &gt;&gt;&gt;'!N43*'National data'!$Z45/1000000</f>
        <v>588.11017431219057</v>
      </c>
      <c r="BQ43" s="229">
        <f>'Supply calc &gt;&gt;&gt;'!N43*Multipliers!$E43</f>
        <v>88256642.802647978</v>
      </c>
      <c r="BR43" s="118">
        <f>'Supply calc &gt;&gt;&gt;'!P43*'National data'!Z45/1000000</f>
        <v>8272.0564716121007</v>
      </c>
      <c r="BS43" s="192">
        <f>'Supply calc &gt;&gt;&gt;'!P43*Multipliers!E43</f>
        <v>1241372731.0741217</v>
      </c>
      <c r="BT43" s="118">
        <f>'Supply calc &gt;&gt;&gt;'!R43*'National data'!$Z45/1000000</f>
        <v>4966.9669771720064</v>
      </c>
      <c r="BU43" s="192">
        <f>'Supply calc &gt;&gt;&gt;'!R43*Multipliers!$E43</f>
        <v>745383857.42008293</v>
      </c>
      <c r="BV43" s="118">
        <f>'Supply calc &gt;&gt;&gt;'!T43*'National data'!$Z45/1000000</f>
        <v>2312.0219796557112</v>
      </c>
      <c r="BW43" s="240">
        <f>'Supply calc &gt;&gt;&gt;'!T43*Multipliers!$E43</f>
        <v>346961006.4967643</v>
      </c>
      <c r="BX43" s="78">
        <f>'Supply calc &gt;&gt;&gt;'!V43*'National data'!$Z45/1000000</f>
        <v>1935.3203597926672</v>
      </c>
      <c r="BY43" s="192">
        <f>'Supply calc &gt;&gt;&gt;'!V43*Multipliers!$E43</f>
        <v>290430067.63600737</v>
      </c>
      <c r="BZ43" s="118">
        <f>'Supply calc &gt;&gt;&gt;'!X43*'National data'!$Z45/1000000</f>
        <v>76.068339685547713</v>
      </c>
      <c r="CA43" s="192">
        <f>'Supply calc &gt;&gt;&gt;'!X43*Multipliers!$E43</f>
        <v>11415439.78909993</v>
      </c>
      <c r="CB43" s="234">
        <f>'Supply calc &gt;&gt;&gt;'!Z43*'National data'!$Z45/1000000</f>
        <v>5784.4623775724731</v>
      </c>
      <c r="CC43" s="229">
        <f>'Supply calc &gt;&gt;&gt;'!Z43*Multipliers!$E43</f>
        <v>868063931.15003014</v>
      </c>
    </row>
    <row r="44" spans="1:81">
      <c r="A44" s="9">
        <v>43</v>
      </c>
      <c r="B44" s="1" t="s">
        <v>523</v>
      </c>
      <c r="C44" s="1" t="s">
        <v>524</v>
      </c>
      <c r="D44" s="1">
        <v>1</v>
      </c>
      <c r="E44" s="191">
        <f>'Supply calc &gt;&gt;&gt;'!E44*'Farms proportions'!AK45</f>
        <v>178294464.29211196</v>
      </c>
      <c r="F44" s="118">
        <f>E44/'National data'!$S46/'Assumptions data'!$AA45</f>
        <v>3396.0850341354662</v>
      </c>
      <c r="G44" s="240">
        <f>'Supply calc &gt;&gt;&gt;'!E44*'Farms proportions'!AL45</f>
        <v>373573564.09721041</v>
      </c>
      <c r="H44" s="118">
        <f>G44/'National data'!$T46/'Assumptions data'!$AA45</f>
        <v>1844.8077239368415</v>
      </c>
      <c r="I44" s="118">
        <f>F44*'National data'!V46+H44*'National data'!X45</f>
        <v>2308306.8228571238</v>
      </c>
      <c r="J44" s="242">
        <f>'Supply calc &gt;&gt;&gt;'!G44*'Farms proportions'!$AK45</f>
        <v>31961072.191762894</v>
      </c>
      <c r="K44" s="234">
        <f>J44/'National data'!$S46/'Assumptions data'!$AA45</f>
        <v>608.78232746215042</v>
      </c>
      <c r="L44" s="230">
        <f>'Supply calc &gt;&gt;&gt;'!G44*'Farms proportions'!$AL45</f>
        <v>66966810.76695291</v>
      </c>
      <c r="M44" s="118">
        <f>L44/'National data'!$T46/'Assumptions data'!$AA45</f>
        <v>330.7003000837181</v>
      </c>
      <c r="N44" s="118">
        <f>K44*'National data'!$V46+M44*'National data'!$X45</f>
        <v>413787.1655129079</v>
      </c>
      <c r="O44" s="242">
        <f>'Supply calc &gt;&gt;&gt;'!I44*'Farms proportions'!$AK45</f>
        <v>25817541.92131358</v>
      </c>
      <c r="P44" s="234">
        <f>O44/'National data'!$S46/'Assumptions data'!$AA45</f>
        <v>491.7627032631159</v>
      </c>
      <c r="Q44" s="230">
        <f>'Supply calc &gt;&gt;&gt;'!I44*'Farms proportions'!$AL45</f>
        <v>54094507.028398834</v>
      </c>
      <c r="R44" s="118">
        <f>Q44/'National data'!$T46/'Assumptions data'!$AA45</f>
        <v>267.13336804147576</v>
      </c>
      <c r="S44" s="118">
        <f>P44*'National data'!$V46+R44*'National data'!$X45</f>
        <v>334249.34645603877</v>
      </c>
      <c r="T44" s="242">
        <f>'Supply calc &gt;&gt;&gt;'!K44*'Farms proportions'!$AK45</f>
        <v>100982945.53045659</v>
      </c>
      <c r="U44" s="234">
        <f>T44/'National data'!$S46/'Assumptions data'!$AA45</f>
        <v>1923.4846767706017</v>
      </c>
      <c r="V44" s="230">
        <f>'Supply calc &gt;&gt;&gt;'!K44*'Farms proportions'!$AL45</f>
        <v>211585699.11088443</v>
      </c>
      <c r="W44" s="118">
        <f>V44/'National data'!$T46/'Assumptions data'!$AA45</f>
        <v>1044.8676499302935</v>
      </c>
      <c r="X44" s="118">
        <f>U44*'National data'!$V46+W44*'National data'!$X45</f>
        <v>1307385.6391764313</v>
      </c>
      <c r="Y44" s="242">
        <f>'Supply calc &gt;&gt;&gt;'!M44*'Farms proportions'!$AK45</f>
        <v>3332721.9203698756</v>
      </c>
      <c r="Z44" s="234">
        <f>Y44/'National data'!$S46/'Assumptions data'!$AA45</f>
        <v>63.48041753085478</v>
      </c>
      <c r="AA44" s="230">
        <f>'Supply calc &gt;&gt;&gt;'!M44*'Farms proportions'!$AL45</f>
        <v>6982924.6290994091</v>
      </c>
      <c r="AB44" s="118">
        <f>AA44/'National data'!$T46/'Assumptions data'!$AA45</f>
        <v>34.483578415305722</v>
      </c>
      <c r="AC44" s="118">
        <f>Z44*'National data'!$V46+AB44*'National data'!$X45</f>
        <v>43147.412220669983</v>
      </c>
      <c r="AD44" s="191">
        <f>'Supply calc &gt;&gt;&gt;'!O44*'Farms proportions'!AK45</f>
        <v>48966458.41429808</v>
      </c>
      <c r="AE44" s="118">
        <f>AD44/'National data'!$S46/'Assumptions data'!$AA45</f>
        <v>932.69444598663017</v>
      </c>
      <c r="AF44" s="240">
        <f>'Supply calc &gt;&gt;&gt;'!O44*'Farms proportions'!AL45</f>
        <v>102597545.37907134</v>
      </c>
      <c r="AG44" s="118">
        <f>AF44/'National data'!$T46/'Assumptions data'!$AA45</f>
        <v>506.65454508183382</v>
      </c>
      <c r="AH44" s="178">
        <f>AE44*'National data'!V45+AG44*'National data'!X45</f>
        <v>633949.07126050629</v>
      </c>
      <c r="AI44" s="191">
        <f>'Supply calc &gt;&gt;&gt;'!Q44*'Farms proportions'!$AK45</f>
        <v>26785663.509970814</v>
      </c>
      <c r="AJ44" s="118">
        <f>AI44/'National data'!$S46/'Assumptions data'!$AA45</f>
        <v>510.20311447563455</v>
      </c>
      <c r="AK44" s="240">
        <f>'Supply calc &gt;&gt;&gt;'!Q44*'Farms proportions'!$AL45</f>
        <v>56122975.12352486</v>
      </c>
      <c r="AL44" s="118">
        <f>AK44/'National data'!$T46/'Assumptions data'!$AA45</f>
        <v>277.15049443715981</v>
      </c>
      <c r="AM44" s="178">
        <f>AJ44*'National data'!$V45+AL44*'National data'!$X45</f>
        <v>346783.22784896556</v>
      </c>
      <c r="AN44" s="191">
        <f>'Supply calc &gt;&gt;&gt;'!S44*'Farms proportions'!$AK45</f>
        <v>8696843.5732906163</v>
      </c>
      <c r="AO44" s="118">
        <f>AN44/'National data'!$S46/'Assumptions data'!$AA45</f>
        <v>165.65416330077366</v>
      </c>
      <c r="AP44" s="240">
        <f>'Supply calc &gt;&gt;&gt;'!S44*'Farms proportions'!$AL45</f>
        <v>18222163.33507238</v>
      </c>
      <c r="AQ44" s="118">
        <f>AP44/'National data'!$T46/'Assumptions data'!$AA45</f>
        <v>89.985991778135215</v>
      </c>
      <c r="AR44" s="178">
        <f>AO44*'National data'!$V45+AQ44*'National data'!$X45</f>
        <v>112594.54093121841</v>
      </c>
      <c r="AS44" s="191">
        <f>'Supply calc &gt;&gt;&gt;'!U44*'Farms proportions'!$AK45</f>
        <v>13901904.607058594</v>
      </c>
      <c r="AT44" s="118">
        <f>AS44/'National data'!$S46/'Assumptions data'!$AA45</f>
        <v>264.79818299159228</v>
      </c>
      <c r="AU44" s="240">
        <f>'Supply calc &gt;&gt;&gt;'!U44*'Farms proportions'!$AL45</f>
        <v>29128128.416200481</v>
      </c>
      <c r="AV44" s="118">
        <f>AU44/'National data'!$T46/'Assumptions data'!$AA45</f>
        <v>143.84260946271843</v>
      </c>
      <c r="AW44" s="178">
        <f>AT44*'National data'!$V45+AV44*'National data'!$X45</f>
        <v>179982.37568726324</v>
      </c>
      <c r="AX44" s="191">
        <f>'Supply calc &gt;&gt;&gt;'!W44*'Farms proportions'!$AK45</f>
        <v>563932.38868151302</v>
      </c>
      <c r="AY44" s="118">
        <f>AX44/'National data'!$S46/'Assumptions data'!$AA45</f>
        <v>10.741569308219296</v>
      </c>
      <c r="AZ44" s="240">
        <f>'Supply calc &gt;&gt;&gt;'!W44*'Farms proportions'!$AL45</f>
        <v>1181585.9409098132</v>
      </c>
      <c r="BA44" s="118">
        <f>AZ44/'National data'!$T46/'Assumptions data'!$AA45</f>
        <v>5.8349923007892004</v>
      </c>
      <c r="BB44" s="118">
        <f>AY44*'National data'!$V45+BA44*'National data'!$X45</f>
        <v>7301.0061506505372</v>
      </c>
      <c r="BC44" s="78">
        <f>'Supply calc &gt;&gt;&gt;'!Y44*'Farms proportions'!AK45</f>
        <v>62679987.946778052</v>
      </c>
      <c r="BD44" s="234">
        <f>BC44/'National data'!$S46/'Assumptions data'!$AA45</f>
        <v>1193.9045323195819</v>
      </c>
      <c r="BE44" s="118">
        <f>'Supply calc &gt;&gt;&gt;'!Y44*'Farms proportions'!AL45</f>
        <v>131330978.71443005</v>
      </c>
      <c r="BF44" s="234">
        <f>BE44/'National data'!$T46/'Assumptions data'!$AA45</f>
        <v>648.54804303422259</v>
      </c>
      <c r="BG44" s="235">
        <f>BD44*'National data'!$V45+BF44*'National data'!$X45</f>
        <v>811492.63051209121</v>
      </c>
      <c r="BH44" s="118">
        <f>'Supply calc &gt;&gt;&gt;'!F44*'National data'!Z46/1000000</f>
        <v>214236.60806608791</v>
      </c>
      <c r="BI44" s="192">
        <f>'Supply calc &gt;&gt;&gt;'!F44*Multipliers!E44</f>
        <v>27765999681.143726</v>
      </c>
      <c r="BJ44" s="247">
        <f>'Supply calc &gt;&gt;&gt;'!H44*'National data'!$Z46/1000000</f>
        <v>38404.062199600121</v>
      </c>
      <c r="BK44" s="229">
        <f>'Supply calc &gt;&gt;&gt;'!H44*Multipliers!$E44</f>
        <v>4977334118.6384869</v>
      </c>
      <c r="BL44" s="247">
        <f>'Supply calc &gt;&gt;&gt;'!J44*'National data'!$Z46/1000000</f>
        <v>31022.065838030372</v>
      </c>
      <c r="BM44" s="229">
        <f>'Supply calc &gt;&gt;&gt;'!J44*Multipliers!$E44</f>
        <v>4020595163.1826539</v>
      </c>
      <c r="BN44" s="247">
        <f>'Supply calc &gt;&gt;&gt;'!L44*'National data'!$Z46/1000000</f>
        <v>121339.96312708106</v>
      </c>
      <c r="BO44" s="229">
        <f>'Supply calc &gt;&gt;&gt;'!L44*Multipliers!$E44</f>
        <v>15726188945.528923</v>
      </c>
      <c r="BP44" s="247">
        <f>'Supply calc &gt;&gt;&gt;'!N44*'National data'!$Z46/1000000</f>
        <v>4004.5608969539344</v>
      </c>
      <c r="BQ44" s="229">
        <f>'Supply calc &gt;&gt;&gt;'!N44*Multipliers!$E44</f>
        <v>519008574.63932294</v>
      </c>
      <c r="BR44" s="118">
        <f>'Supply calc &gt;&gt;&gt;'!P44*'National data'!Z46/1000000</f>
        <v>29798.170370651398</v>
      </c>
      <c r="BS44" s="192">
        <f>'Supply calc &gt;&gt;&gt;'!P44*Multipliers!E44</f>
        <v>3861972967.5469065</v>
      </c>
      <c r="BT44" s="118">
        <f>'Supply calc &gt;&gt;&gt;'!R44*'National data'!$Z46/1000000</f>
        <v>16300.214281537435</v>
      </c>
      <c r="BU44" s="192">
        <f>'Supply calc &gt;&gt;&gt;'!R44*Multipliers!$E44</f>
        <v>2112578931.4407315</v>
      </c>
      <c r="BV44" s="118">
        <f>'Supply calc &gt;&gt;&gt;'!T44*'National data'!$Z46/1000000</f>
        <v>5292.3988149436454</v>
      </c>
      <c r="BW44" s="240">
        <f>'Supply calc &gt;&gt;&gt;'!T44*Multipliers!$E44</f>
        <v>685917991.02270985</v>
      </c>
      <c r="BX44" s="78">
        <f>'Supply calc &gt;&gt;&gt;'!V44*'National data'!$Z46/1000000</f>
        <v>8459.89960010494</v>
      </c>
      <c r="BY44" s="192">
        <f>'Supply calc &gt;&gt;&gt;'!V44*Multipliers!$E44</f>
        <v>1096439920.8867247</v>
      </c>
      <c r="BZ44" s="118">
        <f>'Supply calc &gt;&gt;&gt;'!X44*'National data'!$Z46/1000000</f>
        <v>343.17681816566426</v>
      </c>
      <c r="CA44" s="192">
        <f>'Supply calc &gt;&gt;&gt;'!X44*Multipliers!$E44</f>
        <v>44477213.814103819</v>
      </c>
      <c r="CB44" s="234">
        <f>'Supply calc &gt;&gt;&gt;'!Z44*'National data'!$Z46/1000000</f>
        <v>38143.435734431019</v>
      </c>
      <c r="CC44" s="229">
        <f>'Supply calc &gt;&gt;&gt;'!Z44*Multipliers!$E44</f>
        <v>4943555790.9562712</v>
      </c>
    </row>
    <row r="45" spans="1:81">
      <c r="A45" s="9">
        <v>44</v>
      </c>
      <c r="B45" s="1" t="s">
        <v>528</v>
      </c>
      <c r="C45" s="1" t="s">
        <v>529</v>
      </c>
      <c r="D45" s="1">
        <v>0</v>
      </c>
      <c r="E45" s="191">
        <f>'Supply calc &gt;&gt;&gt;'!E45*'Farms proportions'!AK46</f>
        <v>4119569.2064041821</v>
      </c>
      <c r="F45" s="118">
        <f>E45/'National data'!$S47/'Assumptions data'!$AA46</f>
        <v>78.467984883889187</v>
      </c>
      <c r="G45" s="240">
        <f>'Supply calc &gt;&gt;&gt;'!E45*'Farms proportions'!AL46</f>
        <v>9677363.5682651252</v>
      </c>
      <c r="H45" s="118">
        <f>G45/'National data'!$T47/'Assumptions data'!$AA46</f>
        <v>47.789449719827779</v>
      </c>
      <c r="I45" s="118">
        <f>F45*'National data'!V47+H45*'National data'!X46</f>
        <v>57600.189976756148</v>
      </c>
      <c r="J45" s="242">
        <f>'Supply calc &gt;&gt;&gt;'!G45*'Farms proportions'!$AK46</f>
        <v>554383.79620960064</v>
      </c>
      <c r="K45" s="234">
        <f>J45/'National data'!$S47/'Assumptions data'!$AA46</f>
        <v>10.559691356373346</v>
      </c>
      <c r="L45" s="230">
        <f>'Supply calc &gt;&gt;&gt;'!G45*'Farms proportions'!$AL46</f>
        <v>1302314.2186651579</v>
      </c>
      <c r="M45" s="118">
        <f>L45/'National data'!$T47/'Assumptions data'!$AA46</f>
        <v>6.4311813267415205</v>
      </c>
      <c r="N45" s="118">
        <f>K45*'National data'!$V47+M45*'National data'!$X46</f>
        <v>7751.4444792107388</v>
      </c>
      <c r="O45" s="242">
        <f>'Supply calc &gt;&gt;&gt;'!I45*'Farms proportions'!$AK46</f>
        <v>488969.77895773004</v>
      </c>
      <c r="P45" s="234">
        <f>O45/'National data'!$S47/'Assumptions data'!$AA46</f>
        <v>9.3137100753853357</v>
      </c>
      <c r="Q45" s="230">
        <f>'Supply calc &gt;&gt;&gt;'!I45*'Farms proportions'!$AL46</f>
        <v>1148648.8241323952</v>
      </c>
      <c r="R45" s="118">
        <f>Q45/'National data'!$T47/'Assumptions data'!$AA46</f>
        <v>5.6723398722587417</v>
      </c>
      <c r="S45" s="118">
        <f>P45*'National data'!$V47+R45*'National data'!$X46</f>
        <v>6836.8197618997328</v>
      </c>
      <c r="T45" s="242">
        <f>'Supply calc &gt;&gt;&gt;'!K45*'Farms proportions'!$AK46</f>
        <v>2871759.4953727601</v>
      </c>
      <c r="U45" s="234">
        <f>T45/'National data'!$S47/'Assumptions data'!$AA46</f>
        <v>54.700180864243052</v>
      </c>
      <c r="V45" s="230">
        <f>'Supply calc &gt;&gt;&gt;'!K45*'Farms proportions'!$AL46</f>
        <v>6746108.4703071583</v>
      </c>
      <c r="W45" s="118">
        <f>V45/'National data'!$T47/'Assumptions data'!$AA46</f>
        <v>33.314115902751404</v>
      </c>
      <c r="X45" s="118">
        <f>U45*'National data'!$V47+W45*'National data'!$X46</f>
        <v>40153.201515312801</v>
      </c>
      <c r="Y45" s="242">
        <f>'Supply calc &gt;&gt;&gt;'!M45*'Farms proportions'!$AK46</f>
        <v>47247.926697602241</v>
      </c>
      <c r="Z45" s="234">
        <f>Y45/'National data'!$S47/'Assumptions data'!$AA46</f>
        <v>0.89996050852575693</v>
      </c>
      <c r="AA45" s="230">
        <f>'Supply calc &gt;&gt;&gt;'!M45*'Farms proportions'!$AL46</f>
        <v>110991.06280060307</v>
      </c>
      <c r="AB45" s="118">
        <f>AA45/'National data'!$T47/'Assumptions data'!$AA46</f>
        <v>0.54810401383013863</v>
      </c>
      <c r="AC45" s="118">
        <f>Z45*'National data'!$V47+AB45*'National data'!$X46</f>
        <v>660.62479289314433</v>
      </c>
      <c r="AD45" s="191">
        <f>'Supply calc &gt;&gt;&gt;'!O45*'Farms proportions'!AK46</f>
        <v>804105.0416472127</v>
      </c>
      <c r="AE45" s="118">
        <f>AD45/'National data'!$S47/'Assumptions data'!$AA46</f>
        <v>15.316286507565957</v>
      </c>
      <c r="AF45" s="240">
        <f>'Supply calc &gt;&gt;&gt;'!O45*'Farms proportions'!AL46</f>
        <v>1888939.4607081576</v>
      </c>
      <c r="AG45" s="118">
        <f>AF45/'National data'!$T47/'Assumptions data'!$AA46</f>
        <v>9.3280961022625064</v>
      </c>
      <c r="AH45" s="178">
        <f>AE45*'National data'!V46+AG45*'National data'!X46</f>
        <v>11243.069563716566</v>
      </c>
      <c r="AI45" s="191">
        <f>'Supply calc &gt;&gt;&gt;'!Q45*'Farms proportions'!$AK46</f>
        <v>429505.73635459784</v>
      </c>
      <c r="AJ45" s="118">
        <f>AI45/'National data'!$S47/'Assumptions data'!$AA46</f>
        <v>8.1810616448494837</v>
      </c>
      <c r="AK45" s="240">
        <f>'Supply calc &gt;&gt;&gt;'!Q45*'Farms proportions'!$AL46</f>
        <v>1008960.6357133907</v>
      </c>
      <c r="AL45" s="118">
        <f>AK45/'National data'!$T47/'Assumptions data'!$AA46</f>
        <v>4.9825216578439049</v>
      </c>
      <c r="AM45" s="178">
        <f>AJ45*'National data'!$V46+AL45*'National data'!$X46</f>
        <v>6005.388129339296</v>
      </c>
      <c r="AN45" s="191">
        <f>'Supply calc &gt;&gt;&gt;'!S45*'Farms proportions'!$AK46</f>
        <v>132162.52855422077</v>
      </c>
      <c r="AO45" s="118">
        <f>AN45/'National data'!$S47/'Assumptions data'!$AA46</f>
        <v>2.5173814962708718</v>
      </c>
      <c r="AP45" s="240">
        <f>'Supply calc &gt;&gt;&gt;'!S45*'Farms proportions'!$AL46</f>
        <v>310465.67610325292</v>
      </c>
      <c r="AQ45" s="118">
        <f>AP45/'National data'!$T47/'Assumptions data'!$AA46</f>
        <v>1.5331638326086565</v>
      </c>
      <c r="AR45" s="178">
        <f>AO45*'National data'!$V46+AQ45*'National data'!$X46</f>
        <v>1847.9084513733217</v>
      </c>
      <c r="AS45" s="191">
        <f>'Supply calc &gt;&gt;&gt;'!U45*'Farms proportions'!$AK46</f>
        <v>363191.08297060151</v>
      </c>
      <c r="AT45" s="118">
        <f>AS45/'National data'!$S47/'Assumptions data'!$AA46</f>
        <v>6.9179253899162196</v>
      </c>
      <c r="AU45" s="240">
        <f>'Supply calc &gt;&gt;&gt;'!U45*'Farms proportions'!$AL46</f>
        <v>853179.53857761109</v>
      </c>
      <c r="AV45" s="118">
        <f>AU45/'National data'!$T47/'Assumptions data'!$AA46</f>
        <v>4.2132322892721543</v>
      </c>
      <c r="AW45" s="178">
        <f>AT45*'National data'!$V46+AV45*'National data'!$X46</f>
        <v>5078.1706360094458</v>
      </c>
      <c r="AX45" s="191">
        <f>'Supply calc &gt;&gt;&gt;'!W45*'Farms proportions'!$AK46</f>
        <v>7165.2643705940973</v>
      </c>
      <c r="AY45" s="118">
        <f>AX45/'National data'!$S47/'Assumptions data'!$AA46</f>
        <v>0.13648122610655425</v>
      </c>
      <c r="AZ45" s="240">
        <f>'Supply calc &gt;&gt;&gt;'!W45*'Farms proportions'!$AL46</f>
        <v>16832.067845632948</v>
      </c>
      <c r="BA45" s="118">
        <f>AZ45/'National data'!$T47/'Assumptions data'!$AA46</f>
        <v>8.3121322694483704E-2</v>
      </c>
      <c r="BB45" s="118">
        <f>AY45*'National data'!$V46+BA45*'National data'!$X46</f>
        <v>100.18537577625757</v>
      </c>
      <c r="BC45" s="78">
        <f>'Supply calc &gt;&gt;&gt;'!Y45*'Farms proportions'!AK46</f>
        <v>961178.23808868858</v>
      </c>
      <c r="BD45" s="234">
        <f>BC45/'National data'!$S47/'Assumptions data'!$AA46</f>
        <v>18.308156915975019</v>
      </c>
      <c r="BE45" s="118">
        <f>'Supply calc &gt;&gt;&gt;'!Y45*'Farms proportions'!AL46</f>
        <v>2257923.2919375612</v>
      </c>
      <c r="BF45" s="234">
        <f>BE45/'National data'!$T47/'Assumptions data'!$AA46</f>
        <v>11.150238478704006</v>
      </c>
      <c r="BG45" s="235">
        <f>BD45*'National data'!$V46+BF45*'National data'!$X46</f>
        <v>13439.281230999739</v>
      </c>
      <c r="BH45" s="118">
        <f>'Supply calc &gt;&gt;&gt;'!F45*'National data'!Z47/1000000</f>
        <v>24575.941661449913</v>
      </c>
      <c r="BI45" s="192">
        <f>'Supply calc &gt;&gt;&gt;'!F45*Multipliers!E45</f>
        <v>3185149328.5644498</v>
      </c>
      <c r="BJ45" s="247">
        <f>'Supply calc &gt;&gt;&gt;'!H45*'National data'!$Z47/1000000</f>
        <v>3307.2642189188041</v>
      </c>
      <c r="BK45" s="229">
        <f>'Supply calc &gt;&gt;&gt;'!H45*Multipliers!$E45</f>
        <v>428635881.03313285</v>
      </c>
      <c r="BL45" s="247">
        <f>'Supply calc &gt;&gt;&gt;'!J45*'National data'!$Z47/1000000</f>
        <v>2917.0265529696808</v>
      </c>
      <c r="BM45" s="229">
        <f>'Supply calc &gt;&gt;&gt;'!J45*Multipliers!$E45</f>
        <v>378059375.89647979</v>
      </c>
      <c r="BN45" s="247">
        <f>'Supply calc &gt;&gt;&gt;'!L45*'National data'!$Z47/1000000</f>
        <v>17131.935473806287</v>
      </c>
      <c r="BO45" s="229">
        <f>'Supply calc &gt;&gt;&gt;'!L45*Multipliers!$E45</f>
        <v>2220373628.9380589</v>
      </c>
      <c r="BP45" s="247">
        <f>'Supply calc &gt;&gt;&gt;'!N45*'National data'!$Z47/1000000</f>
        <v>281.86497955650805</v>
      </c>
      <c r="BQ45" s="229">
        <f>'Supply calc &gt;&gt;&gt;'!N45*Multipliers!$E45</f>
        <v>36530931.866123147</v>
      </c>
      <c r="BR45" s="118">
        <f>'Supply calc &gt;&gt;&gt;'!P45*'National data'!Z47/1000000</f>
        <v>2365.8162402323892</v>
      </c>
      <c r="BS45" s="192">
        <f>'Supply calc &gt;&gt;&gt;'!P45*Multipliers!E45</f>
        <v>306620112.99055517</v>
      </c>
      <c r="BT45" s="118">
        <f>'Supply calc &gt;&gt;&gt;'!R45*'National data'!$Z47/1000000</f>
        <v>1263.6802329446016</v>
      </c>
      <c r="BU45" s="192">
        <f>'Supply calc &gt;&gt;&gt;'!R45*Multipliers!$E45</f>
        <v>163778474.93824986</v>
      </c>
      <c r="BV45" s="118">
        <f>'Supply calc &gt;&gt;&gt;'!T45*'National data'!$Z47/1000000</f>
        <v>388.84503915463807</v>
      </c>
      <c r="BW45" s="240">
        <f>'Supply calc &gt;&gt;&gt;'!T45*Multipliers!$E45</f>
        <v>50396014.624407388</v>
      </c>
      <c r="BX45" s="78">
        <f>'Supply calc &gt;&gt;&gt;'!V45*'National data'!$Z47/1000000</f>
        <v>1068.5710422101997</v>
      </c>
      <c r="BY45" s="192">
        <f>'Supply calc &gt;&gt;&gt;'!V45*Multipliers!$E45</f>
        <v>138491472.04634237</v>
      </c>
      <c r="BZ45" s="118">
        <f>'Supply calc &gt;&gt;&gt;'!X45*'National data'!$Z47/1000000</f>
        <v>21.081448238136147</v>
      </c>
      <c r="CA45" s="192">
        <f>'Supply calc &gt;&gt;&gt;'!X45*Multipliers!$E45</f>
        <v>2732247.7252700324</v>
      </c>
      <c r="CB45" s="234">
        <f>'Supply calc &gt;&gt;&gt;'!Z45*'National data'!$Z47/1000000</f>
        <v>2827.952776878421</v>
      </c>
      <c r="CC45" s="229">
        <f>'Supply calc &gt;&gt;&gt;'!Z45*Multipliers!$E45</f>
        <v>366515025.6527285</v>
      </c>
    </row>
    <row r="46" spans="1:81">
      <c r="A46" s="9">
        <v>45</v>
      </c>
      <c r="B46" s="1" t="s">
        <v>533</v>
      </c>
      <c r="C46" s="1" t="s">
        <v>534</v>
      </c>
      <c r="D46" s="1">
        <v>0</v>
      </c>
      <c r="E46" s="191">
        <f>'Supply calc &gt;&gt;&gt;'!E46*'Farms proportions'!AK47</f>
        <v>3267354.4698909363</v>
      </c>
      <c r="F46" s="118">
        <f>E46/'National data'!$S48/'Assumptions data'!$AA47</f>
        <v>62.235323236017834</v>
      </c>
      <c r="G46" s="240">
        <f>'Supply calc &gt;&gt;&gt;'!E46*'Farms proportions'!AL47</f>
        <v>10843520.802553704</v>
      </c>
      <c r="H46" s="118">
        <f>G46/'National data'!$T48/'Assumptions data'!$AA47</f>
        <v>53.548250876808417</v>
      </c>
      <c r="I46" s="118">
        <f>F46*'National data'!V48+H46*'National data'!X47</f>
        <v>58607.21489176387</v>
      </c>
      <c r="J46" s="242">
        <f>'Supply calc &gt;&gt;&gt;'!G46*'Farms proportions'!$AK47</f>
        <v>901142.82248906884</v>
      </c>
      <c r="K46" s="234">
        <f>J46/'National data'!$S48/'Assumptions data'!$AA47</f>
        <v>17.16462519026798</v>
      </c>
      <c r="L46" s="230">
        <f>'Supply calc &gt;&gt;&gt;'!G46*'Farms proportions'!$AL47</f>
        <v>2990664.4754275316</v>
      </c>
      <c r="M46" s="118">
        <f>L46/'National data'!$T48/'Assumptions data'!$AA47</f>
        <v>14.768713458901392</v>
      </c>
      <c r="N46" s="118">
        <f>K46*'National data'!$V48+M46*'National data'!$X47</f>
        <v>16163.985736004452</v>
      </c>
      <c r="O46" s="242">
        <f>'Supply calc &gt;&gt;&gt;'!I46*'Farms proportions'!$AK47</f>
        <v>948039.00611581979</v>
      </c>
      <c r="P46" s="234">
        <f>O46/'National data'!$S48/'Assumptions data'!$AA47</f>
        <v>18.057885830777522</v>
      </c>
      <c r="Q46" s="230">
        <f>'Supply calc &gt;&gt;&gt;'!I46*'Farms proportions'!$AL47</f>
        <v>3146301.0148367453</v>
      </c>
      <c r="R46" s="118">
        <f>Q46/'National data'!$T48/'Assumptions data'!$AA47</f>
        <v>15.537288962156767</v>
      </c>
      <c r="S46" s="118">
        <f>P46*'National data'!$V48+R46*'National data'!$X47</f>
        <v>17005.172309651098</v>
      </c>
      <c r="T46" s="242">
        <f>'Supply calc &gt;&gt;&gt;'!K46*'Farms proportions'!$AK47</f>
        <v>1722932.9307888765</v>
      </c>
      <c r="U46" s="234">
        <f>T46/'National data'!$S48/'Assumptions data'!$AA47</f>
        <v>32.817770110264313</v>
      </c>
      <c r="V46" s="230">
        <f>'Supply calc &gt;&gt;&gt;'!K46*'Farms proportions'!$AL47</f>
        <v>5717977.4182987949</v>
      </c>
      <c r="W46" s="118">
        <f>V46/'National data'!$T48/'Assumptions data'!$AA47</f>
        <v>28.236925522463189</v>
      </c>
      <c r="X46" s="118">
        <f>U46*'National data'!$V48+W46*'National data'!$X47</f>
        <v>30904.605377025651</v>
      </c>
      <c r="Y46" s="242">
        <f>'Supply calc &gt;&gt;&gt;'!M46*'Farms proportions'!$AK47</f>
        <v>11108.884586537632</v>
      </c>
      <c r="Z46" s="234">
        <f>Y46/'National data'!$S48/'Assumptions data'!$AA47</f>
        <v>0.21159780164833586</v>
      </c>
      <c r="AA46" s="230">
        <f>'Supply calc &gt;&gt;&gt;'!M46*'Farms proportions'!$AL47</f>
        <v>36867.570451059728</v>
      </c>
      <c r="AB46" s="118">
        <f>AA46/'National data'!$T48/'Assumptions data'!$AA47</f>
        <v>0.18206207630152954</v>
      </c>
      <c r="AC46" s="118">
        <f>Z46*'National data'!$V48+AB46*'National data'!$X47</f>
        <v>199.26236720582898</v>
      </c>
      <c r="AD46" s="191">
        <f>'Supply calc &gt;&gt;&gt;'!O46*'Farms proportions'!AK47</f>
        <v>846298.56521480181</v>
      </c>
      <c r="AE46" s="118">
        <f>AD46/'National data'!$S48/'Assumptions data'!$AA47</f>
        <v>16.119972670758131</v>
      </c>
      <c r="AF46" s="240">
        <f>'Supply calc &gt;&gt;&gt;'!O46*'Farms proportions'!AL47</f>
        <v>2808650.2954129665</v>
      </c>
      <c r="AG46" s="118">
        <f>AF46/'National data'!$T48/'Assumptions data'!$AA47</f>
        <v>13.869878002039341</v>
      </c>
      <c r="AH46" s="178">
        <f>AE46*'National data'!V47+AG46*'National data'!X47</f>
        <v>15180.232916629624</v>
      </c>
      <c r="AI46" s="191">
        <f>'Supply calc &gt;&gt;&gt;'!Q46*'Farms proportions'!$AK47</f>
        <v>717009.50049106288</v>
      </c>
      <c r="AJ46" s="118">
        <f>AI46/'National data'!$S48/'Assumptions data'!$AA47</f>
        <v>13.657323818877387</v>
      </c>
      <c r="AK46" s="240">
        <f>'Supply calc &gt;&gt;&gt;'!Q46*'Farms proportions'!$AL47</f>
        <v>2379572.6805432914</v>
      </c>
      <c r="AL46" s="118">
        <f>AK46/'National data'!$T48/'Assumptions data'!$AA47</f>
        <v>11.750976200213785</v>
      </c>
      <c r="AM46" s="178">
        <f>AJ46*'National data'!$V47+AL46*'National data'!$X47</f>
        <v>12861.148143537263</v>
      </c>
      <c r="AN46" s="191">
        <f>'Supply calc &gt;&gt;&gt;'!S46*'Farms proportions'!$AK47</f>
        <v>192411.50212352094</v>
      </c>
      <c r="AO46" s="118">
        <f>AN46/'National data'!$S48/'Assumptions data'!$AA47</f>
        <v>3.6649809928289701</v>
      </c>
      <c r="AP46" s="240">
        <f>'Supply calc &gt;&gt;&gt;'!S46*'Farms proportions'!$AL47</f>
        <v>638564.97516678984</v>
      </c>
      <c r="AQ46" s="118">
        <f>AP46/'National data'!$T48/'Assumptions data'!$AA47</f>
        <v>3.1534072847742709</v>
      </c>
      <c r="AR46" s="178">
        <f>AO46*'National data'!$V47+AQ46*'National data'!$X47</f>
        <v>3451.3250265670395</v>
      </c>
      <c r="AS46" s="191">
        <f>'Supply calc &gt;&gt;&gt;'!U46*'Farms proportions'!$AK47</f>
        <v>141976.66671311171</v>
      </c>
      <c r="AT46" s="118">
        <f>AS46/'National data'!$S48/'Assumptions data'!$AA47</f>
        <v>2.7043174612021277</v>
      </c>
      <c r="AU46" s="240">
        <f>'Supply calc &gt;&gt;&gt;'!U46*'Farms proportions'!$AL47</f>
        <v>471184.54797842918</v>
      </c>
      <c r="AV46" s="118">
        <f>AU46/'National data'!$T48/'Assumptions data'!$AA47</f>
        <v>2.3268372739675516</v>
      </c>
      <c r="AW46" s="178">
        <f>AT46*'National data'!$V47+AV46*'National data'!$X47</f>
        <v>2546.6649218348894</v>
      </c>
      <c r="AX46" s="191">
        <f>'Supply calc &gt;&gt;&gt;'!W46*'Farms proportions'!$AK47</f>
        <v>3015.3052595991107</v>
      </c>
      <c r="AY46" s="118">
        <f>AX46/'National data'!$S48/'Assumptions data'!$AA47</f>
        <v>5.7434385897125927E-2</v>
      </c>
      <c r="AZ46" s="240">
        <f>'Supply calc &gt;&gt;&gt;'!W46*'Farms proportions'!$AL47</f>
        <v>10007.033399594369</v>
      </c>
      <c r="BA46" s="118">
        <f>AZ46/'National data'!$T48/'Assumptions data'!$AA47</f>
        <v>4.9417448886885776E-2</v>
      </c>
      <c r="BB46" s="118">
        <f>AY46*'National data'!$V47+BA46*'National data'!$X47</f>
        <v>54.086155922803741</v>
      </c>
      <c r="BC46" s="78">
        <f>'Supply calc &gt;&gt;&gt;'!Y46*'Farms proportions'!AK47</f>
        <v>585089.83257261291</v>
      </c>
      <c r="BD46" s="234">
        <f>BC46/'National data'!$S48/'Assumptions data'!$AA47</f>
        <v>11.144568239478341</v>
      </c>
      <c r="BE46" s="118">
        <f>'Supply calc &gt;&gt;&gt;'!Y46*'Farms proportions'!AL47</f>
        <v>1941764.7608572964</v>
      </c>
      <c r="BF46" s="234">
        <f>BE46/'National data'!$T48/'Assumptions data'!$AA47</f>
        <v>9.5889617820113404</v>
      </c>
      <c r="BG46" s="235">
        <f>BD46*'National data'!$V47+BF46*'National data'!$X47</f>
        <v>10494.877695260864</v>
      </c>
      <c r="BH46" s="118">
        <f>'Supply calc &gt;&gt;&gt;'!F46*'National data'!Z48/1000000</f>
        <v>4869.3050826861627</v>
      </c>
      <c r="BI46" s="192">
        <f>'Supply calc &gt;&gt;&gt;'!F46*Multipliers!E46</f>
        <v>631083196.25536895</v>
      </c>
      <c r="BJ46" s="247">
        <f>'Supply calc &gt;&gt;&gt;'!H46*'National data'!$Z48/1000000</f>
        <v>1342.9639686197395</v>
      </c>
      <c r="BK46" s="229">
        <f>'Supply calc &gt;&gt;&gt;'!H46*Multipliers!$E46</f>
        <v>174053993.20446828</v>
      </c>
      <c r="BL46" s="247">
        <f>'Supply calc &gt;&gt;&gt;'!J46*'National data'!$Z48/1000000</f>
        <v>1412.8528733579956</v>
      </c>
      <c r="BM46" s="229">
        <f>'Supply calc &gt;&gt;&gt;'!J46*Multipliers!$E46</f>
        <v>183111900.36699805</v>
      </c>
      <c r="BN46" s="247">
        <f>'Supply calc &gt;&gt;&gt;'!L46*'National data'!$Z48/1000000</f>
        <v>2567.6693956311642</v>
      </c>
      <c r="BO46" s="229">
        <f>'Supply calc &gt;&gt;&gt;'!L46*Multipliers!$E46</f>
        <v>332781163.14455742</v>
      </c>
      <c r="BP46" s="247">
        <f>'Supply calc &gt;&gt;&gt;'!N46*'National data'!$Z48/1000000</f>
        <v>16.555457535651851</v>
      </c>
      <c r="BQ46" s="229">
        <f>'Supply calc &gt;&gt;&gt;'!N46*Multipliers!$E46</f>
        <v>2145659.5714692031</v>
      </c>
      <c r="BR46" s="118">
        <f>'Supply calc &gt;&gt;&gt;'!P46*'National data'!Z48/1000000</f>
        <v>654.62260974201683</v>
      </c>
      <c r="BS46" s="192">
        <f>'Supply calc &gt;&gt;&gt;'!P46*Multipliers!E46</f>
        <v>84841948.056605175</v>
      </c>
      <c r="BT46" s="118">
        <f>'Supply calc &gt;&gt;&gt;'!R46*'National data'!$Z48/1000000</f>
        <v>554.6158881908857</v>
      </c>
      <c r="BU46" s="192">
        <f>'Supply calc &gt;&gt;&gt;'!R46*Multipliers!$E46</f>
        <v>71880640.352161154</v>
      </c>
      <c r="BV46" s="118">
        <f>'Supply calc &gt;&gt;&gt;'!T46*'National data'!$Z48/1000000</f>
        <v>148.83272268399904</v>
      </c>
      <c r="BW46" s="240">
        <f>'Supply calc &gt;&gt;&gt;'!T46*Multipliers!$E46</f>
        <v>19289370.607066724</v>
      </c>
      <c r="BX46" s="78">
        <f>'Supply calc &gt;&gt;&gt;'!V46*'National data'!$Z48/1000000</f>
        <v>109.82074164644251</v>
      </c>
      <c r="BY46" s="192">
        <f>'Supply calc &gt;&gt;&gt;'!V46*Multipliers!$E46</f>
        <v>14233247.553086</v>
      </c>
      <c r="BZ46" s="118">
        <f>'Supply calc &gt;&gt;&gt;'!X46*'National data'!$Z48/1000000</f>
        <v>2.3323766331880766</v>
      </c>
      <c r="CA46" s="192">
        <f>'Supply calc &gt;&gt;&gt;'!X46*Multipliers!$E46</f>
        <v>302286.1939329704</v>
      </c>
      <c r="CB46" s="234">
        <f>'Supply calc &gt;&gt;&gt;'!Z46*'National data'!$Z48/1000000</f>
        <v>452.57436190381554</v>
      </c>
      <c r="CC46" s="229">
        <f>'Supply calc &gt;&gt;&gt;'!Z46*Multipliers!$E46</f>
        <v>58655613.070753716</v>
      </c>
    </row>
    <row r="47" spans="1:81">
      <c r="A47" s="9">
        <v>46</v>
      </c>
      <c r="B47" s="1" t="s">
        <v>538</v>
      </c>
      <c r="C47" s="1" t="s">
        <v>539</v>
      </c>
      <c r="D47" s="1">
        <v>0</v>
      </c>
      <c r="E47" s="191">
        <f>'Supply calc &gt;&gt;&gt;'!E47*'Farms proportions'!AK48</f>
        <v>171611576.28228495</v>
      </c>
      <c r="F47" s="118">
        <f>E47/'National data'!$S49/'Assumptions data'!$AA48</f>
        <v>3268.79192918638</v>
      </c>
      <c r="G47" s="240">
        <f>'Supply calc &gt;&gt;&gt;'!E47*'Farms proportions'!AL48</f>
        <v>287570620.81580371</v>
      </c>
      <c r="H47" s="118">
        <f>G47/'National data'!$T49/'Assumptions data'!$AA48</f>
        <v>1420.1018311891542</v>
      </c>
      <c r="I47" s="118">
        <f>F47*'National data'!V49+H47*'National data'!X48</f>
        <v>1928095.0482042951</v>
      </c>
      <c r="J47" s="242">
        <f>'Supply calc &gt;&gt;&gt;'!G47*'Farms proportions'!$AK48</f>
        <v>43429899.403259195</v>
      </c>
      <c r="K47" s="234">
        <f>J47/'National data'!$S49/'Assumptions data'!$AA48</f>
        <v>827.23617910969892</v>
      </c>
      <c r="L47" s="230">
        <f>'Supply calc &gt;&gt;&gt;'!G47*'Farms proportions'!$AL48</f>
        <v>72775761.425439328</v>
      </c>
      <c r="M47" s="118">
        <f>L47/'National data'!$T49/'Assumptions data'!$AA48</f>
        <v>359.38647617500902</v>
      </c>
      <c r="N47" s="118">
        <f>K47*'National data'!$V49+M47*'National data'!$X48</f>
        <v>487944.78669489792</v>
      </c>
      <c r="O47" s="242">
        <f>'Supply calc &gt;&gt;&gt;'!I47*'Farms proportions'!$AK48</f>
        <v>35624567.457130067</v>
      </c>
      <c r="P47" s="234">
        <f>O47/'National data'!$S49/'Assumptions data'!$AA48</f>
        <v>678.56318965962032</v>
      </c>
      <c r="Q47" s="230">
        <f>'Supply calc &gt;&gt;&gt;'!I47*'Farms proportions'!$AL48</f>
        <v>59696316.541548453</v>
      </c>
      <c r="R47" s="118">
        <f>Q47/'National data'!$T49/'Assumptions data'!$AA48</f>
        <v>294.7966248965356</v>
      </c>
      <c r="S47" s="118">
        <f>P47*'National data'!$V49+R47*'National data'!$X48</f>
        <v>400250.1089759107</v>
      </c>
      <c r="T47" s="242">
        <f>'Supply calc &gt;&gt;&gt;'!K47*'Farms proportions'!$AK48</f>
        <v>100217276.27163433</v>
      </c>
      <c r="U47" s="234">
        <f>T47/'National data'!$S49/'Assumptions data'!$AA48</f>
        <v>1908.9005004120825</v>
      </c>
      <c r="V47" s="230">
        <f>'Supply calc &gt;&gt;&gt;'!K47*'Farms proportions'!$AL48</f>
        <v>167934733.64813891</v>
      </c>
      <c r="W47" s="118">
        <f>V47/'National data'!$T49/'Assumptions data'!$AA48</f>
        <v>829.3073266574761</v>
      </c>
      <c r="X47" s="118">
        <f>U47*'National data'!$V49+W47*'National data'!$X48</f>
        <v>1125963.8674142663</v>
      </c>
      <c r="Y47" s="242">
        <f>'Supply calc &gt;&gt;&gt;'!M47*'Farms proportions'!$AK48</f>
        <v>6471235.4866530728</v>
      </c>
      <c r="Z47" s="234">
        <f>Y47/'National data'!$S49/'Assumptions data'!$AA48</f>
        <v>123.26162831720139</v>
      </c>
      <c r="AA47" s="230">
        <f>'Supply calc &gt;&gt;&gt;'!M47*'Farms proportions'!$AL48</f>
        <v>10843890.876458222</v>
      </c>
      <c r="AB47" s="118">
        <f>AA47/'National data'!$T49/'Assumptions data'!$AA48</f>
        <v>53.55007840226282</v>
      </c>
      <c r="AC47" s="118">
        <f>Z47*'National data'!$V49+AB47*'National data'!$X48</f>
        <v>72705.800901542607</v>
      </c>
      <c r="AD47" s="191">
        <f>'Supply calc &gt;&gt;&gt;'!O47*'Farms proportions'!AK48</f>
        <v>38860636.275923729</v>
      </c>
      <c r="AE47" s="118">
        <f>AD47/'National data'!$S49/'Assumptions data'!$AA48</f>
        <v>740.20259573188059</v>
      </c>
      <c r="AF47" s="240">
        <f>'Supply calc &gt;&gt;&gt;'!O47*'Farms proportions'!AL48</f>
        <v>65119017.84983556</v>
      </c>
      <c r="AG47" s="118">
        <f>AF47/'National data'!$T49/'Assumptions data'!$AA48</f>
        <v>321.57539678931141</v>
      </c>
      <c r="AH47" s="178">
        <f>AE47*'National data'!V48+AG47*'National data'!X48</f>
        <v>436608.07736203563</v>
      </c>
      <c r="AI47" s="191">
        <f>'Supply calc &gt;&gt;&gt;'!Q47*'Farms proportions'!$AK48</f>
        <v>31290380.279470786</v>
      </c>
      <c r="AJ47" s="118">
        <f>AI47/'National data'!$S49/'Assumptions data'!$AA48</f>
        <v>596.00724341849116</v>
      </c>
      <c r="AK47" s="240">
        <f>'Supply calc &gt;&gt;&gt;'!Q47*'Farms proportions'!$AL48</f>
        <v>52433491.244954303</v>
      </c>
      <c r="AL47" s="118">
        <f>AK47/'National data'!$T49/'Assumptions data'!$AA48</f>
        <v>258.9308209627373</v>
      </c>
      <c r="AM47" s="178">
        <f>AJ47*'National data'!$V48+AL47*'National data'!$X48</f>
        <v>351554.53134489246</v>
      </c>
      <c r="AN47" s="191">
        <f>'Supply calc &gt;&gt;&gt;'!S47*'Farms proportions'!$AK48</f>
        <v>10000756.848709274</v>
      </c>
      <c r="AO47" s="118">
        <f>AN47/'National data'!$S49/'Assumptions data'!$AA48</f>
        <v>190.49060664208142</v>
      </c>
      <c r="AP47" s="240">
        <f>'Supply calc &gt;&gt;&gt;'!S47*'Farms proportions'!$AL48</f>
        <v>16758332.496641146</v>
      </c>
      <c r="AQ47" s="118">
        <f>AP47/'National data'!$T49/'Assumptions data'!$AA48</f>
        <v>82.757197514277266</v>
      </c>
      <c r="AR47" s="178">
        <f>AO47*'National data'!$V48+AQ47*'National data'!$X48</f>
        <v>112360.77528111383</v>
      </c>
      <c r="AS47" s="191">
        <f>'Supply calc &gt;&gt;&gt;'!U47*'Farms proportions'!$AK48</f>
        <v>10602852.361886723</v>
      </c>
      <c r="AT47" s="118">
        <f>AS47/'National data'!$S49/'Assumptions data'!$AA48</f>
        <v>201.95909260736616</v>
      </c>
      <c r="AU47" s="240">
        <f>'Supply calc &gt;&gt;&gt;'!U47*'Farms proportions'!$AL48</f>
        <v>17767267.815958079</v>
      </c>
      <c r="AV47" s="118">
        <f>AU47/'National data'!$T49/'Assumptions data'!$AA48</f>
        <v>87.739594152879405</v>
      </c>
      <c r="AW47" s="178">
        <f>AT47*'National data'!$V48+AV47*'National data'!$X48</f>
        <v>119125.45516257998</v>
      </c>
      <c r="AX47" s="191">
        <f>'Supply calc &gt;&gt;&gt;'!W47*'Farms proportions'!$AK48</f>
        <v>1157126.4150192533</v>
      </c>
      <c r="AY47" s="118">
        <f>AX47/'National data'!$S49/'Assumptions data'!$AA48</f>
        <v>22.040503143223873</v>
      </c>
      <c r="AZ47" s="240">
        <f>'Supply calc &gt;&gt;&gt;'!W47*'Farms proportions'!$AL48</f>
        <v>1939004.1670737895</v>
      </c>
      <c r="BA47" s="118">
        <f>AZ47/'National data'!$T49/'Assumptions data'!$AA48</f>
        <v>9.5753292201174798</v>
      </c>
      <c r="BB47" s="118">
        <f>AY47*'National data'!$V48+BA47*'National data'!$X48</f>
        <v>13000.578161901754</v>
      </c>
      <c r="BC47" s="78">
        <f>'Supply calc &gt;&gt;&gt;'!Y47*'Farms proportions'!AK48</f>
        <v>34603134.199464388</v>
      </c>
      <c r="BD47" s="234">
        <f>BC47/'National data'!$S49/'Assumptions data'!$AA48</f>
        <v>659.10731808503601</v>
      </c>
      <c r="BE47" s="118">
        <f>'Supply calc &gt;&gt;&gt;'!Y47*'Farms proportions'!AL48</f>
        <v>57984694.269950278</v>
      </c>
      <c r="BF47" s="234">
        <f>BE47/'National data'!$T49/'Assumptions data'!$AA48</f>
        <v>286.34416923432235</v>
      </c>
      <c r="BG47" s="235">
        <f>BD47*'National data'!$V48+BF47*'National data'!$X48</f>
        <v>388774.07426519354</v>
      </c>
      <c r="BH47" s="118">
        <f>'Supply calc &gt;&gt;&gt;'!F47*'National data'!Z49/1000000</f>
        <v>65494.195491593811</v>
      </c>
      <c r="BI47" s="192">
        <f>'Supply calc &gt;&gt;&gt;'!F47*Multipliers!E47</f>
        <v>9828596867.7698765</v>
      </c>
      <c r="BJ47" s="247">
        <f>'Supply calc &gt;&gt;&gt;'!H47*'National data'!$Z49/1000000</f>
        <v>16574.676273694553</v>
      </c>
      <c r="BK47" s="229">
        <f>'Supply calc &gt;&gt;&gt;'!H47*Multipliers!$E47</f>
        <v>2487332046.5298786</v>
      </c>
      <c r="BL47" s="247">
        <f>'Supply calc &gt;&gt;&gt;'!J47*'National data'!$Z49/1000000</f>
        <v>13595.833310818432</v>
      </c>
      <c r="BM47" s="229">
        <f>'Supply calc &gt;&gt;&gt;'!J47*Multipliers!$E47</f>
        <v>2040302406.8076775</v>
      </c>
      <c r="BN47" s="247">
        <f>'Supply calc &gt;&gt;&gt;'!L47*'National data'!$Z49/1000000</f>
        <v>38247.127763530923</v>
      </c>
      <c r="BO47" s="229">
        <f>'Supply calc &gt;&gt;&gt;'!L47*Multipliers!$E47</f>
        <v>5739678109.1246948</v>
      </c>
      <c r="BP47" s="247">
        <f>'Supply calc &gt;&gt;&gt;'!N47*'National data'!$Z49/1000000</f>
        <v>2469.6956418478303</v>
      </c>
      <c r="BQ47" s="229">
        <f>'Supply calc &gt;&gt;&gt;'!N47*Multipliers!$E47</f>
        <v>370622811.19135249</v>
      </c>
      <c r="BR47" s="118">
        <f>'Supply calc &gt;&gt;&gt;'!P47*'National data'!Z49/1000000</f>
        <v>7875.1203283424929</v>
      </c>
      <c r="BS47" s="192">
        <f>'Supply calc &gt;&gt;&gt;'!P47*Multipliers!E47</f>
        <v>1181805233.448396</v>
      </c>
      <c r="BT47" s="118">
        <f>'Supply calc &gt;&gt;&gt;'!R47*'National data'!$Z49/1000000</f>
        <v>6341.0055376034907</v>
      </c>
      <c r="BU47" s="192">
        <f>'Supply calc &gt;&gt;&gt;'!R47*Multipliers!$E47</f>
        <v>951583368.53531253</v>
      </c>
      <c r="BV47" s="118">
        <f>'Supply calc &gt;&gt;&gt;'!T47*'National data'!$Z49/1000000</f>
        <v>2026.6565631833248</v>
      </c>
      <c r="BW47" s="240">
        <f>'Supply calc &gt;&gt;&gt;'!T47*Multipliers!$E47</f>
        <v>304136728.44497371</v>
      </c>
      <c r="BX47" s="78">
        <f>'Supply calc &gt;&gt;&gt;'!V47*'National data'!$Z49/1000000</f>
        <v>2148.6714108497586</v>
      </c>
      <c r="BY47" s="192">
        <f>'Supply calc &gt;&gt;&gt;'!V47*Multipliers!$E47</f>
        <v>322447278.57226938</v>
      </c>
      <c r="BZ47" s="118">
        <f>'Supply calc &gt;&gt;&gt;'!X47*'National data'!$Z49/1000000</f>
        <v>234.4920368436141</v>
      </c>
      <c r="CA47" s="192">
        <f>'Supply calc &gt;&gt;&gt;'!X47*Multipliers!$E47</f>
        <v>35189800.890583292</v>
      </c>
      <c r="CB47" s="234">
        <f>'Supply calc &gt;&gt;&gt;'!Z47*'National data'!$Z49/1000000</f>
        <v>7012.3361754474472</v>
      </c>
      <c r="CC47" s="229">
        <f>'Supply calc &gt;&gt;&gt;'!Z47*Multipliers!$E47</f>
        <v>1052328757.5705583</v>
      </c>
    </row>
    <row r="48" spans="1:81">
      <c r="A48" s="9">
        <v>47</v>
      </c>
      <c r="B48" s="1" t="s">
        <v>543</v>
      </c>
      <c r="C48" s="1" t="s">
        <v>544</v>
      </c>
      <c r="D48" s="1">
        <v>0</v>
      </c>
      <c r="E48" s="191">
        <f>'Supply calc &gt;&gt;&gt;'!E48*'Farms proportions'!AK49</f>
        <v>12378450.537996706</v>
      </c>
      <c r="F48" s="118">
        <f>E48/'National data'!$S50/'Assumptions data'!$AA49</f>
        <v>235.78001024755633</v>
      </c>
      <c r="G48" s="240">
        <f>'Supply calc &gt;&gt;&gt;'!E48*'Farms proportions'!AL49</f>
        <v>56662102.699395724</v>
      </c>
      <c r="H48" s="118">
        <f>G48/'National data'!$T50/'Assumptions data'!$AA49</f>
        <v>279.8128528365221</v>
      </c>
      <c r="I48" s="118">
        <f>F48*'National data'!V50+H48*'National data'!X49</f>
        <v>285590.59881015279</v>
      </c>
      <c r="J48" s="242">
        <f>'Supply calc &gt;&gt;&gt;'!G48*'Farms proportions'!$AK49</f>
        <v>3291503.8087262767</v>
      </c>
      <c r="K48" s="234">
        <f>J48/'National data'!$S50/'Assumptions data'!$AA49</f>
        <v>62.695310642405275</v>
      </c>
      <c r="L48" s="230">
        <f>'Supply calc &gt;&gt;&gt;'!G48*'Farms proportions'!$AL49</f>
        <v>15066790.974606397</v>
      </c>
      <c r="M48" s="118">
        <f>L48/'National data'!$T50/'Assumptions data'!$AA49</f>
        <v>74.403906047439008</v>
      </c>
      <c r="N48" s="118">
        <f>K48*'National data'!$V50+M48*'National data'!$X49</f>
        <v>75940.243153580232</v>
      </c>
      <c r="O48" s="242">
        <f>'Supply calc &gt;&gt;&gt;'!I48*'Farms proportions'!$AK49</f>
        <v>1706718.2045303073</v>
      </c>
      <c r="P48" s="234">
        <f>O48/'National data'!$S50/'Assumptions data'!$AA49</f>
        <v>32.508918181529666</v>
      </c>
      <c r="Q48" s="230">
        <f>'Supply calc &gt;&gt;&gt;'!I48*'Farms proportions'!$AL49</f>
        <v>7812467.4721748512</v>
      </c>
      <c r="R48" s="118">
        <f>Q48/'National data'!$T50/'Assumptions data'!$AA49</f>
        <v>38.580086282344944</v>
      </c>
      <c r="S48" s="118">
        <f>P48*'National data'!$V50+R48*'National data'!$X49</f>
        <v>39376.711369150275</v>
      </c>
      <c r="T48" s="242">
        <f>'Supply calc &gt;&gt;&gt;'!K48*'Farms proportions'!$AK49</f>
        <v>7650302.7435342977</v>
      </c>
      <c r="U48" s="234">
        <f>T48/'National data'!$S50/'Assumptions data'!$AA49</f>
        <v>145.72005225779617</v>
      </c>
      <c r="V48" s="230">
        <f>'Supply calc &gt;&gt;&gt;'!K48*'Farms proportions'!$AL49</f>
        <v>35019103.433422357</v>
      </c>
      <c r="W48" s="118">
        <f>V48/'National data'!$T50/'Assumptions data'!$AA49</f>
        <v>172.93384411566598</v>
      </c>
      <c r="X48" s="118">
        <f>U48*'National data'!$V50+W48*'National data'!$X49</f>
        <v>176504.68731109102</v>
      </c>
      <c r="Y48" s="242">
        <f>'Supply calc &gt;&gt;&gt;'!M48*'Farms proportions'!$AK49</f>
        <v>248353.53497245917</v>
      </c>
      <c r="Z48" s="234">
        <f>Y48/'National data'!$S50/'Assumptions data'!$AA49</f>
        <v>4.7305435232849371</v>
      </c>
      <c r="AA48" s="230">
        <f>'Supply calc &gt;&gt;&gt;'!M48*'Farms proportions'!$AL49</f>
        <v>1136833.1974322256</v>
      </c>
      <c r="AB48" s="118">
        <f>AA48/'National data'!$T50/'Assumptions data'!$AA49</f>
        <v>5.6139910984307431</v>
      </c>
      <c r="AC48" s="118">
        <f>Z48*'National data'!$V50+AB48*'National data'!$X49</f>
        <v>5729.9122011826139</v>
      </c>
      <c r="AD48" s="191">
        <f>'Supply calc &gt;&gt;&gt;'!O48*'Farms proportions'!AK49</f>
        <v>2669977.5710715353</v>
      </c>
      <c r="AE48" s="118">
        <f>AD48/'National data'!$S50/'Assumptions data'!$AA49</f>
        <v>50.856715639457818</v>
      </c>
      <c r="AF48" s="240">
        <f>'Supply calc &gt;&gt;&gt;'!O48*'Farms proportions'!AL49</f>
        <v>12221767.40721721</v>
      </c>
      <c r="AG48" s="118">
        <f>AF48/'National data'!$T50/'Assumptions data'!$AA49</f>
        <v>60.354406949220795</v>
      </c>
      <c r="AH48" s="178">
        <f>AE48*'National data'!V49+AG48*'National data'!X49</f>
        <v>61600.641452771131</v>
      </c>
      <c r="AI48" s="191">
        <f>'Supply calc &gt;&gt;&gt;'!Q48*'Farms proportions'!$AK49</f>
        <v>2612973.963811263</v>
      </c>
      <c r="AJ48" s="118">
        <f>AI48/'National data'!$S50/'Assumptions data'!$AA49</f>
        <v>49.770932644024057</v>
      </c>
      <c r="AK48" s="240">
        <f>'Supply calc &gt;&gt;&gt;'!Q48*'Farms proportions'!$AL49</f>
        <v>11960834.567609943</v>
      </c>
      <c r="AL48" s="118">
        <f>AK48/'National data'!$T50/'Assumptions data'!$AA49</f>
        <v>59.065849716592318</v>
      </c>
      <c r="AM48" s="178">
        <f>AJ48*'National data'!$V49+AL48*'National data'!$X49</f>
        <v>60285.477306674817</v>
      </c>
      <c r="AN48" s="191">
        <f>'Supply calc &gt;&gt;&gt;'!S48*'Farms proportions'!$AK49</f>
        <v>420056.70585730055</v>
      </c>
      <c r="AO48" s="118">
        <f>AN48/'National data'!$S50/'Assumptions data'!$AA49</f>
        <v>8.0010801115676298</v>
      </c>
      <c r="AP48" s="240">
        <f>'Supply calc &gt;&gt;&gt;'!S48*'Farms proportions'!$AL49</f>
        <v>1922800.9300353159</v>
      </c>
      <c r="AQ48" s="118">
        <f>AP48/'National data'!$T50/'Assumptions data'!$AA49</f>
        <v>9.4953132347423015</v>
      </c>
      <c r="AR48" s="178">
        <f>AO48*'National data'!$V49+AQ48*'National data'!$X49</f>
        <v>9691.3782376692634</v>
      </c>
      <c r="AS48" s="191">
        <f>'Supply calc &gt;&gt;&gt;'!U48*'Farms proportions'!$AK49</f>
        <v>568395.24201619474</v>
      </c>
      <c r="AT48" s="118">
        <f>AS48/'National data'!$S50/'Assumptions data'!$AA49</f>
        <v>10.82657603840371</v>
      </c>
      <c r="AU48" s="240">
        <f>'Supply calc &gt;&gt;&gt;'!U48*'Farms proportions'!$AL49</f>
        <v>2601817.527816508</v>
      </c>
      <c r="AV48" s="118">
        <f>AU48/'National data'!$T50/'Assumptions data'!$AA49</f>
        <v>12.848481618846954</v>
      </c>
      <c r="AW48" s="178">
        <f>AT48*'National data'!$V49+AV48*'National data'!$X49</f>
        <v>13113.784882038839</v>
      </c>
      <c r="AX48" s="191">
        <f>'Supply calc &gt;&gt;&gt;'!W48*'Farms proportions'!$AK49</f>
        <v>43461.938928170908</v>
      </c>
      <c r="AY48" s="118">
        <f>AX48/'National data'!$S50/'Assumptions data'!$AA49</f>
        <v>0.82784645577468396</v>
      </c>
      <c r="AZ48" s="240">
        <f>'Supply calc &gt;&gt;&gt;'!W48*'Farms proportions'!$AL49</f>
        <v>198946.13138401991</v>
      </c>
      <c r="BA48" s="118">
        <f>AZ48/'National data'!$T50/'Assumptions data'!$AA49</f>
        <v>0.98245003152602428</v>
      </c>
      <c r="BB48" s="118">
        <f>AY48*'National data'!$V49+BA48*'National data'!$X49</f>
        <v>1002.736257324448</v>
      </c>
      <c r="BC48" s="78">
        <f>'Supply calc &gt;&gt;&gt;'!Y48*'Farms proportions'!AK49</f>
        <v>2315787.8106767084</v>
      </c>
      <c r="BD48" s="234">
        <f>BC48/'National data'!$S50/'Assumptions data'!$AA49</f>
        <v>44.110244012889687</v>
      </c>
      <c r="BE48" s="118">
        <f>'Supply calc &gt;&gt;&gt;'!Y48*'Farms proportions'!AL49</f>
        <v>10600471.065081162</v>
      </c>
      <c r="BF48" s="234">
        <f>BE48/'National data'!$T50/'Assumptions data'!$AA49</f>
        <v>52.348005259660063</v>
      </c>
      <c r="BG48" s="235">
        <f>BD48*'National data'!$V49+BF48*'National data'!$X49</f>
        <v>53428.918711456732</v>
      </c>
      <c r="BH48" s="118">
        <f>'Supply calc &gt;&gt;&gt;'!F48*'National data'!Z50/1000000</f>
        <v>60567.791885366336</v>
      </c>
      <c r="BI48" s="192">
        <f>'Supply calc &gt;&gt;&gt;'!F48*Multipliers!E48</f>
        <v>9502450295.7941723</v>
      </c>
      <c r="BJ48" s="247">
        <f>'Supply calc &gt;&gt;&gt;'!H48*'National data'!$Z50/1000000</f>
        <v>16105.337018140843</v>
      </c>
      <c r="BK48" s="229">
        <f>'Supply calc &gt;&gt;&gt;'!H48*Multipliers!$E48</f>
        <v>2526758195.2062712</v>
      </c>
      <c r="BL48" s="247">
        <f>'Supply calc &gt;&gt;&gt;'!J48*'National data'!$Z50/1000000</f>
        <v>8350.9767803044579</v>
      </c>
      <c r="BM48" s="229">
        <f>'Supply calc &gt;&gt;&gt;'!J48*Multipliers!$E48</f>
        <v>1310180531.6985166</v>
      </c>
      <c r="BN48" s="247">
        <f>'Supply calc &gt;&gt;&gt;'!L48*'National data'!$Z50/1000000</f>
        <v>37432.951968269663</v>
      </c>
      <c r="BO48" s="229">
        <f>'Supply calc &gt;&gt;&gt;'!L48*Multipliers!$E48</f>
        <v>5872836939.087327</v>
      </c>
      <c r="BP48" s="247">
        <f>'Supply calc &gt;&gt;&gt;'!N48*'National data'!$Z50/1000000</f>
        <v>1215.1945167962315</v>
      </c>
      <c r="BQ48" s="229">
        <f>'Supply calc &gt;&gt;&gt;'!N48*Multipliers!$E48</f>
        <v>190651254.34047285</v>
      </c>
      <c r="BR48" s="118">
        <f>'Supply calc &gt;&gt;&gt;'!P48*'National data'!Z50/1000000</f>
        <v>6937.0388738129514</v>
      </c>
      <c r="BS48" s="192">
        <f>'Supply calc &gt;&gt;&gt;'!P48*Multipliers!E48</f>
        <v>1088348527.2694261</v>
      </c>
      <c r="BT48" s="118">
        <f>'Supply calc &gt;&gt;&gt;'!R48*'National data'!$Z50/1000000</f>
        <v>6788.9341691905156</v>
      </c>
      <c r="BU48" s="192">
        <f>'Supply calc &gt;&gt;&gt;'!R48*Multipliers!$E48</f>
        <v>1065112454.9207493</v>
      </c>
      <c r="BV48" s="118">
        <f>'Supply calc &gt;&gt;&gt;'!T48*'National data'!$Z50/1000000</f>
        <v>1091.3760959304454</v>
      </c>
      <c r="BW48" s="240">
        <f>'Supply calc &gt;&gt;&gt;'!T48*Multipliers!$E48</f>
        <v>171225444.79127043</v>
      </c>
      <c r="BX48" s="78">
        <f>'Supply calc &gt;&gt;&gt;'!V48*'National data'!$Z50/1000000</f>
        <v>1476.7838997142726</v>
      </c>
      <c r="BY48" s="192">
        <f>'Supply calc &gt;&gt;&gt;'!V48*Multipliers!$E48</f>
        <v>231691880.58273032</v>
      </c>
      <c r="BZ48" s="118">
        <f>'Supply calc &gt;&gt;&gt;'!X48*'National data'!$Z50/1000000</f>
        <v>112.92123317538092</v>
      </c>
      <c r="CA48" s="192">
        <f>'Supply calc &gt;&gt;&gt;'!X48*Multipliers!$E48</f>
        <v>17716155.273081589</v>
      </c>
      <c r="CB48" s="234">
        <f>'Supply calc &gt;&gt;&gt;'!Z48*'National data'!$Z50/1000000</f>
        <v>6016.7958863112481</v>
      </c>
      <c r="CC48" s="229">
        <f>'Supply calc &gt;&gt;&gt;'!Z48*Multipliers!$E48</f>
        <v>943972069.47584379</v>
      </c>
    </row>
    <row r="49" spans="1:81">
      <c r="A49" s="9">
        <v>48</v>
      </c>
      <c r="B49" s="1" t="s">
        <v>548</v>
      </c>
      <c r="C49" s="1" t="s">
        <v>549</v>
      </c>
      <c r="D49" s="1">
        <v>1</v>
      </c>
      <c r="E49" s="191">
        <f>'Supply calc &gt;&gt;&gt;'!E49*'Farms proportions'!AK50</f>
        <v>25535340.283463091</v>
      </c>
      <c r="F49" s="118">
        <f>E49/'National data'!$S51/'Assumptions data'!$AA50</f>
        <v>486.38743397072557</v>
      </c>
      <c r="G49" s="240">
        <f>'Supply calc &gt;&gt;&gt;'!E49*'Farms proportions'!AL50</f>
        <v>28094814.777306989</v>
      </c>
      <c r="H49" s="118">
        <f>G49/'National data'!$T51/'Assumptions data'!$AA50</f>
        <v>138.73982606077527</v>
      </c>
      <c r="I49" s="118">
        <f>F49*'National data'!V51+H49*'National data'!X50</f>
        <v>226954.593573438</v>
      </c>
      <c r="J49" s="242">
        <f>'Supply calc &gt;&gt;&gt;'!G49*'Farms proportions'!$AK50</f>
        <v>5903147.9255576245</v>
      </c>
      <c r="K49" s="234">
        <f>J49/'National data'!$S51/'Assumptions data'!$AA50</f>
        <v>112.4409128677643</v>
      </c>
      <c r="L49" s="230">
        <f>'Supply calc &gt;&gt;&gt;'!G49*'Farms proportions'!$AL50</f>
        <v>6494836.0088621946</v>
      </c>
      <c r="M49" s="118">
        <f>L49/'National data'!$T51/'Assumptions data'!$AA50</f>
        <v>32.073264241294794</v>
      </c>
      <c r="N49" s="118">
        <f>K49*'National data'!$V51+M49*'National data'!$X50</f>
        <v>52466.367135763052</v>
      </c>
      <c r="O49" s="242">
        <f>'Supply calc &gt;&gt;&gt;'!I49*'Farms proportions'!$AK50</f>
        <v>5702729.1171034249</v>
      </c>
      <c r="P49" s="234">
        <f>O49/'National data'!$S51/'Assumptions data'!$AA50</f>
        <v>108.62341175435097</v>
      </c>
      <c r="Q49" s="230">
        <f>'Supply calc &gt;&gt;&gt;'!I49*'Farms proportions'!$AL50</f>
        <v>6274328.6947279945</v>
      </c>
      <c r="R49" s="118">
        <f>Q49/'National data'!$T51/'Assumptions data'!$AA50</f>
        <v>30.984339233224663</v>
      </c>
      <c r="S49" s="118">
        <f>P49*'National data'!$V51+R49*'National data'!$X50</f>
        <v>50685.072321898646</v>
      </c>
      <c r="T49" s="242">
        <f>'Supply calc &gt;&gt;&gt;'!K49*'Farms proportions'!$AK50</f>
        <v>10776553.175304445</v>
      </c>
      <c r="U49" s="234">
        <f>T49/'National data'!$S51/'Assumptions data'!$AA50</f>
        <v>205.26767952960847</v>
      </c>
      <c r="V49" s="230">
        <f>'Supply calc &gt;&gt;&gt;'!K49*'Farms proportions'!$AL50</f>
        <v>11856715.518063854</v>
      </c>
      <c r="W49" s="118">
        <f>V49/'National data'!$T51/'Assumptions data'!$AA50</f>
        <v>58.551681570685702</v>
      </c>
      <c r="X49" s="118">
        <f>U49*'National data'!$V51+W49*'National data'!$X50</f>
        <v>95780.522948725935</v>
      </c>
      <c r="Y49" s="242">
        <f>'Supply calc &gt;&gt;&gt;'!M49*'Farms proportions'!$AK50</f>
        <v>276460.08380024153</v>
      </c>
      <c r="Z49" s="234">
        <f>Y49/'National data'!$S51/'Assumptions data'!$AA50</f>
        <v>5.2659063580998389</v>
      </c>
      <c r="AA49" s="230">
        <f>'Supply calc &gt;&gt;&gt;'!M49*'Farms proportions'!$AL50</f>
        <v>304170.40703062777</v>
      </c>
      <c r="AB49" s="118">
        <f>AA49/'National data'!$T51/'Assumptions data'!$AA50</f>
        <v>1.5020760841018657</v>
      </c>
      <c r="AC49" s="118">
        <f>Z49*'National data'!$V51+AB49*'National data'!$X50</f>
        <v>2457.1392141892038</v>
      </c>
      <c r="AD49" s="191">
        <f>'Supply calc &gt;&gt;&gt;'!O49*'Farms proportions'!AK50</f>
        <v>9432941.0409340784</v>
      </c>
      <c r="AE49" s="118">
        <f>AD49/'National data'!$S51/'Assumptions data'!$AA50</f>
        <v>179.67506744636341</v>
      </c>
      <c r="AF49" s="240">
        <f>'Supply calc &gt;&gt;&gt;'!O49*'Farms proportions'!AL50</f>
        <v>10378429.596331932</v>
      </c>
      <c r="AG49" s="118">
        <f>AF49/'National data'!$T51/'Assumptions data'!$AA50</f>
        <v>51.251504179416948</v>
      </c>
      <c r="AH49" s="178">
        <f>AE49*'National data'!V50+AG49*'National data'!X50</f>
        <v>83838.683032308356</v>
      </c>
      <c r="AI49" s="191">
        <f>'Supply calc &gt;&gt;&gt;'!Q49*'Farms proportions'!$AK50</f>
        <v>6274021.3714589607</v>
      </c>
      <c r="AJ49" s="118">
        <f>AI49/'National data'!$S51/'Assumptions data'!$AA50</f>
        <v>119.50516898017069</v>
      </c>
      <c r="AK49" s="240">
        <f>'Supply calc &gt;&gt;&gt;'!Q49*'Farms proportions'!$AL50</f>
        <v>6902883.0782473423</v>
      </c>
      <c r="AL49" s="118">
        <f>AK49/'National data'!$T51/'Assumptions data'!$AA50</f>
        <v>34.088311497517743</v>
      </c>
      <c r="AM49" s="178">
        <f>AJ49*'National data'!$V50+AL49*'National data'!$X50</f>
        <v>55762.639331369086</v>
      </c>
      <c r="AN49" s="191">
        <f>'Supply calc &gt;&gt;&gt;'!S49*'Farms proportions'!$AK50</f>
        <v>1717219.8570153476</v>
      </c>
      <c r="AO49" s="118">
        <f>AN49/'National data'!$S51/'Assumptions data'!$AA50</f>
        <v>32.708949657435191</v>
      </c>
      <c r="AP49" s="240">
        <f>'Supply calc &gt;&gt;&gt;'!S49*'Farms proportions'!$AL50</f>
        <v>1889341.3316290777</v>
      </c>
      <c r="AQ49" s="118">
        <f>AP49/'National data'!$T51/'Assumptions data'!$AA50</f>
        <v>9.3300806500201361</v>
      </c>
      <c r="AR49" s="178">
        <f>AO49*'National data'!$V50+AQ49*'National data'!$X50</f>
        <v>15262.413987784163</v>
      </c>
      <c r="AS49" s="191">
        <f>'Supply calc &gt;&gt;&gt;'!U49*'Farms proportions'!$AK50</f>
        <v>1239988.0200350482</v>
      </c>
      <c r="AT49" s="118">
        <f>AS49/'National data'!$S51/'Assumptions data'!$AA50</f>
        <v>23.618819429239014</v>
      </c>
      <c r="AU49" s="240">
        <f>'Supply calc &gt;&gt;&gt;'!U49*'Farms proportions'!$AL50</f>
        <v>1364275.2891577953</v>
      </c>
      <c r="AV49" s="118">
        <f>AU49/'National data'!$T51/'Assumptions data'!$AA50</f>
        <v>6.7371619217668899</v>
      </c>
      <c r="AW49" s="178">
        <f>AT49*'National data'!$V50+AV49*'National data'!$X50</f>
        <v>11020.843035533664</v>
      </c>
      <c r="AX49" s="191">
        <f>'Supply calc &gt;&gt;&gt;'!W49*'Farms proportions'!$AK50</f>
        <v>66752.949271338293</v>
      </c>
      <c r="AY49" s="118">
        <f>AX49/'National data'!$S51/'Assumptions data'!$AA50</f>
        <v>1.2714847480254914</v>
      </c>
      <c r="AZ49" s="240">
        <f>'Supply calc &gt;&gt;&gt;'!W49*'Farms proportions'!$AL50</f>
        <v>73443.773405743559</v>
      </c>
      <c r="BA49" s="118">
        <f>AZ49/'National data'!$T51/'Assumptions data'!$AA50</f>
        <v>0.36268530076910405</v>
      </c>
      <c r="BB49" s="118">
        <f>AY49*'National data'!$V50+BA49*'National data'!$X50</f>
        <v>593.29103522916853</v>
      </c>
      <c r="BC49" s="78">
        <f>'Supply calc &gt;&gt;&gt;'!Y49*'Farms proportions'!AK50</f>
        <v>5496603.2080737362</v>
      </c>
      <c r="BD49" s="234">
        <f>BC49/'National data'!$S51/'Assumptions data'!$AA50</f>
        <v>104.69720396330926</v>
      </c>
      <c r="BE49" s="118">
        <f>'Supply calc &gt;&gt;&gt;'!Y49*'Farms proportions'!AL50</f>
        <v>6047542.2422778774</v>
      </c>
      <c r="BF49" s="234">
        <f>BE49/'National data'!$T51/'Assumptions data'!$AA50</f>
        <v>29.864406134705568</v>
      </c>
      <c r="BG49" s="235">
        <f>BD49*'National data'!$V50+BF49*'National data'!$X50</f>
        <v>48853.053582791239</v>
      </c>
      <c r="BH49" s="118">
        <f>'Supply calc &gt;&gt;&gt;'!F49*'National data'!Z51/1000000</f>
        <v>15624.283148014652</v>
      </c>
      <c r="BI49" s="192">
        <f>'Supply calc &gt;&gt;&gt;'!F49*Multipliers!E49</f>
        <v>2238130601.0116487</v>
      </c>
      <c r="BJ49" s="247">
        <f>'Supply calc &gt;&gt;&gt;'!H49*'National data'!$Z51/1000000</f>
        <v>3611.9532236372111</v>
      </c>
      <c r="BK49" s="229">
        <f>'Supply calc &gt;&gt;&gt;'!H49*Multipliers!$E49</f>
        <v>517401212.11719942</v>
      </c>
      <c r="BL49" s="247">
        <f>'Supply calc &gt;&gt;&gt;'!J49*'National data'!$Z51/1000000</f>
        <v>3489.3231675378984</v>
      </c>
      <c r="BM49" s="229">
        <f>'Supply calc &gt;&gt;&gt;'!J49*Multipliers!$E49</f>
        <v>499834833.00338244</v>
      </c>
      <c r="BN49" s="247">
        <f>'Supply calc &gt;&gt;&gt;'!L49*'National data'!$Z51/1000000</f>
        <v>6593.8388249963809</v>
      </c>
      <c r="BO49" s="229">
        <f>'Supply calc &gt;&gt;&gt;'!L49*Multipliers!$E49</f>
        <v>944547171.384202</v>
      </c>
      <c r="BP49" s="247">
        <f>'Supply calc &gt;&gt;&gt;'!N49*'National data'!$Z51/1000000</f>
        <v>169.15735527582424</v>
      </c>
      <c r="BQ49" s="229">
        <f>'Supply calc &gt;&gt;&gt;'!N49*Multipliers!$E49</f>
        <v>24231271.901721075</v>
      </c>
      <c r="BR49" s="118">
        <f>'Supply calc &gt;&gt;&gt;'!P49*'National data'!Z51/1000000</f>
        <v>2846.5278053376496</v>
      </c>
      <c r="BS49" s="192">
        <f>'Supply calc &gt;&gt;&gt;'!P49*Multipliers!E49</f>
        <v>407756370.47810811</v>
      </c>
      <c r="BT49" s="118">
        <f>'Supply calc &gt;&gt;&gt;'!R49*'National data'!$Z51/1000000</f>
        <v>1893.2776328868172</v>
      </c>
      <c r="BU49" s="192">
        <f>'Supply calc &gt;&gt;&gt;'!R49*Multipliers!$E49</f>
        <v>271206209.34940767</v>
      </c>
      <c r="BV49" s="118">
        <f>'Supply calc &gt;&gt;&gt;'!T49*'National data'!$Z51/1000000</f>
        <v>518.19618607391328</v>
      </c>
      <c r="BW49" s="240">
        <f>'Supply calc &gt;&gt;&gt;'!T49*Multipliers!$E49</f>
        <v>74230013.011952117</v>
      </c>
      <c r="BX49" s="78">
        <f>'Supply calc &gt;&gt;&gt;'!V49*'National data'!$Z51/1000000</f>
        <v>374.18450534127646</v>
      </c>
      <c r="BY49" s="192">
        <f>'Supply calc &gt;&gt;&gt;'!V49*Multipliers!$E49</f>
        <v>53600781.801956385</v>
      </c>
      <c r="BZ49" s="118">
        <f>'Supply calc &gt;&gt;&gt;'!X49*'National data'!$Z51/1000000</f>
        <v>20.143677922356893</v>
      </c>
      <c r="CA49" s="192">
        <f>'Supply calc &gt;&gt;&gt;'!X49*Multipliers!$E49</f>
        <v>2885520.0298055578</v>
      </c>
      <c r="CB49" s="234">
        <f>'Supply calc &gt;&gt;&gt;'!Z49*'National data'!$Z51/1000000</f>
        <v>1658.6803414537912</v>
      </c>
      <c r="CC49" s="229">
        <f>'Supply calc &gt;&gt;&gt;'!Z49*Multipliers!$E49</f>
        <v>237600867.4660956</v>
      </c>
    </row>
    <row r="50" spans="1:81">
      <c r="A50" s="9">
        <v>49</v>
      </c>
      <c r="B50" s="1" t="s">
        <v>553</v>
      </c>
      <c r="C50" s="1" t="s">
        <v>554</v>
      </c>
      <c r="D50" s="1">
        <v>0</v>
      </c>
      <c r="E50" s="191">
        <f>'Supply calc &gt;&gt;&gt;'!E50*'Farms proportions'!AK51</f>
        <v>26304397.324273106</v>
      </c>
      <c r="F50" s="118">
        <f>E50/'National data'!$S52/'Assumptions data'!$AA51</f>
        <v>501.0361395099639</v>
      </c>
      <c r="G50" s="240">
        <f>'Supply calc &gt;&gt;&gt;'!E50*'Farms proportions'!AL51</f>
        <v>90059160.11148119</v>
      </c>
      <c r="H50" s="118">
        <f>G50/'National data'!$T52/'Assumptions data'!$AA51</f>
        <v>444.73659314311698</v>
      </c>
      <c r="I50" s="118">
        <f>F50*'National data'!V52+H50*'National data'!X51</f>
        <v>483091.77416301629</v>
      </c>
      <c r="J50" s="242">
        <f>'Supply calc &gt;&gt;&gt;'!G50*'Farms proportions'!$AK51</f>
        <v>7031969.5701979091</v>
      </c>
      <c r="K50" s="234">
        <f>J50/'National data'!$S52/'Assumptions data'!$AA51</f>
        <v>133.94227752757925</v>
      </c>
      <c r="L50" s="230">
        <f>'Supply calc &gt;&gt;&gt;'!G50*'Farms proportions'!$AL51</f>
        <v>24075566.743250504</v>
      </c>
      <c r="M50" s="118">
        <f>L50/'National data'!$T52/'Assumptions data'!$AA51</f>
        <v>118.89168762099014</v>
      </c>
      <c r="N50" s="118">
        <f>K50*'National data'!$V52+M50*'National data'!$X51</f>
        <v>129145.20008380867</v>
      </c>
      <c r="O50" s="242">
        <f>'Supply calc &gt;&gt;&gt;'!I50*'Farms proportions'!$AK51</f>
        <v>6036978.2025380814</v>
      </c>
      <c r="P50" s="234">
        <f>O50/'National data'!$S52/'Assumptions data'!$AA51</f>
        <v>114.99006100072538</v>
      </c>
      <c r="Q50" s="230">
        <f>'Supply calc &gt;&gt;&gt;'!I50*'Farms proportions'!$AL51</f>
        <v>20668984.726374954</v>
      </c>
      <c r="R50" s="118">
        <f>Q50/'National data'!$T52/'Assumptions data'!$AA51</f>
        <v>102.06906037716027</v>
      </c>
      <c r="S50" s="118">
        <f>P50*'National data'!$V52+R50*'National data'!$X51</f>
        <v>110871.74796270193</v>
      </c>
      <c r="T50" s="242">
        <f>'Supply calc &gt;&gt;&gt;'!K50*'Farms proportions'!$AK51</f>
        <v>19960229.662107445</v>
      </c>
      <c r="U50" s="234">
        <f>T50/'National data'!$S52/'Assumptions data'!$AA51</f>
        <v>380.1948507068085</v>
      </c>
      <c r="V50" s="230">
        <f>'Supply calc &gt;&gt;&gt;'!K50*'Farms proportions'!$AL51</f>
        <v>68338441.548055708</v>
      </c>
      <c r="W50" s="118">
        <f>V50/'National data'!$T52/'Assumptions data'!$AA51</f>
        <v>337.47378542249737</v>
      </c>
      <c r="X50" s="118">
        <f>U50*'National data'!$V52+W50*'National data'!$X51</f>
        <v>366578.35727225558</v>
      </c>
      <c r="Y50" s="242">
        <f>'Supply calc &gt;&gt;&gt;'!M50*'Farms proportions'!$AK51</f>
        <v>310831.95358552557</v>
      </c>
      <c r="Z50" s="234">
        <f>Y50/'National data'!$S52/'Assumptions data'!$AA51</f>
        <v>5.9206086397242963</v>
      </c>
      <c r="AA50" s="230">
        <f>'Supply calc &gt;&gt;&gt;'!M50*'Farms proportions'!$AL51</f>
        <v>1064204.7537006973</v>
      </c>
      <c r="AB50" s="118">
        <f>AA50/'National data'!$T52/'Assumptions data'!$AA51</f>
        <v>5.2553321170404814</v>
      </c>
      <c r="AC50" s="118">
        <f>Z50*'National data'!$V52+AB50*'National data'!$X51</f>
        <v>5708.5649244517499</v>
      </c>
      <c r="AD50" s="191">
        <f>'Supply calc &gt;&gt;&gt;'!O50*'Farms proportions'!AK51</f>
        <v>5978693.8760755155</v>
      </c>
      <c r="AE50" s="118">
        <f>AD50/'National data'!$S52/'Assumptions data'!$AA51</f>
        <v>113.87988335381934</v>
      </c>
      <c r="AF50" s="240">
        <f>'Supply calc &gt;&gt;&gt;'!O50*'Farms proportions'!AL51</f>
        <v>20469434.916349906</v>
      </c>
      <c r="AG50" s="118">
        <f>AF50/'National data'!$T52/'Assumptions data'!$AA51</f>
        <v>101.08362921654275</v>
      </c>
      <c r="AH50" s="178">
        <f>AE50*'National data'!V51+AG50*'National data'!X51</f>
        <v>109801.33078759657</v>
      </c>
      <c r="AI50" s="191">
        <f>'Supply calc &gt;&gt;&gt;'!Q50*'Farms proportions'!$AK51</f>
        <v>3981874.9223863864</v>
      </c>
      <c r="AJ50" s="118">
        <f>AI50/'National data'!$S52/'Assumptions data'!$AA51</f>
        <v>75.845236616883554</v>
      </c>
      <c r="AK50" s="240">
        <f>'Supply calc &gt;&gt;&gt;'!Q50*'Farms proportions'!$AL51</f>
        <v>13632865.515157625</v>
      </c>
      <c r="AL50" s="118">
        <f>AK50/'National data'!$T52/'Assumptions data'!$AA51</f>
        <v>67.322792667445057</v>
      </c>
      <c r="AM50" s="178">
        <f>AJ50*'National data'!$V51+AL50*'National data'!$X51</f>
        <v>73128.876401809714</v>
      </c>
      <c r="AN50" s="191">
        <f>'Supply calc &gt;&gt;&gt;'!S50*'Farms proportions'!$AK51</f>
        <v>1987713.2166613278</v>
      </c>
      <c r="AO50" s="118">
        <f>AN50/'National data'!$S52/'Assumptions data'!$AA51</f>
        <v>37.861204126882434</v>
      </c>
      <c r="AP50" s="240">
        <f>'Supply calc &gt;&gt;&gt;'!S50*'Farms proportions'!$AL51</f>
        <v>6805393.8141293889</v>
      </c>
      <c r="AQ50" s="118">
        <f>AP50/'National data'!$T52/'Assumptions data'!$AA51</f>
        <v>33.606883032737727</v>
      </c>
      <c r="AR50" s="178">
        <f>AO50*'National data'!$V51+AQ50*'National data'!$X51</f>
        <v>36505.223538351202</v>
      </c>
      <c r="AS50" s="191">
        <f>'Supply calc &gt;&gt;&gt;'!U50*'Farms proportions'!$AK51</f>
        <v>1775892.4484541281</v>
      </c>
      <c r="AT50" s="118">
        <f>AS50/'National data'!$S52/'Assumptions data'!$AA51</f>
        <v>33.82652282769768</v>
      </c>
      <c r="AU50" s="240">
        <f>'Supply calc &gt;&gt;&gt;'!U50*'Farms proportions'!$AL51</f>
        <v>6080176.6482030712</v>
      </c>
      <c r="AV50" s="118">
        <f>AU50/'National data'!$T52/'Assumptions data'!$AA51</f>
        <v>30.02556369482998</v>
      </c>
      <c r="AW50" s="178">
        <f>AT50*'National data'!$V51+AV50*'National data'!$X51</f>
        <v>32615.042385127726</v>
      </c>
      <c r="AX50" s="191">
        <f>'Supply calc &gt;&gt;&gt;'!W50*'Farms proportions'!$AK51</f>
        <v>53913.007705507829</v>
      </c>
      <c r="AY50" s="118">
        <f>AX50/'National data'!$S52/'Assumptions data'!$AA51</f>
        <v>1.0269144324858634</v>
      </c>
      <c r="AZ50" s="240">
        <f>'Supply calc &gt;&gt;&gt;'!W50*'Farms proportions'!$AL51</f>
        <v>184583.59388304371</v>
      </c>
      <c r="BA50" s="118">
        <f>AZ50/'National data'!$T52/'Assumptions data'!$AA51</f>
        <v>0.91152392041009245</v>
      </c>
      <c r="BB50" s="118">
        <f>AY50*'National data'!$V51+BA50*'National data'!$X51</f>
        <v>990.13599216297087</v>
      </c>
      <c r="BC50" s="78">
        <f>'Supply calc &gt;&gt;&gt;'!Y50*'Farms proportions'!AK51</f>
        <v>5404590.5929683279</v>
      </c>
      <c r="BD50" s="234">
        <f>BC50/'National data'!$S52/'Assumptions data'!$AA51</f>
        <v>102.94458272320624</v>
      </c>
      <c r="BE50" s="118">
        <f>'Supply calc &gt;&gt;&gt;'!Y50*'Farms proportions'!AL51</f>
        <v>18503860.154970881</v>
      </c>
      <c r="BF50" s="234">
        <f>BE50/'National data'!$T52/'Assumptions data'!$AA51</f>
        <v>91.37708718504139</v>
      </c>
      <c r="BG50" s="235">
        <f>BD50*'National data'!$V51+BF50*'National data'!$X51</f>
        <v>99257.672623904829</v>
      </c>
      <c r="BH50" s="118">
        <f>'Supply calc &gt;&gt;&gt;'!F50*'National data'!Z52/1000000</f>
        <v>46526.832664444402</v>
      </c>
      <c r="BI50" s="192">
        <f>'Supply calc &gt;&gt;&gt;'!F50*Multipliers!E50</f>
        <v>6982198626.3149862</v>
      </c>
      <c r="BJ50" s="247">
        <f>'Supply calc &gt;&gt;&gt;'!H50*'National data'!$Z52/1000000</f>
        <v>12438.044767220468</v>
      </c>
      <c r="BK50" s="229">
        <f>'Supply calc &gt;&gt;&gt;'!H50*Multipliers!$E50</f>
        <v>1866555149.2418165</v>
      </c>
      <c r="BL50" s="247">
        <f>'Supply calc &gt;&gt;&gt;'!J50*'National data'!$Z52/1000000</f>
        <v>10678.118611339427</v>
      </c>
      <c r="BM50" s="229">
        <f>'Supply calc &gt;&gt;&gt;'!J50*Multipliers!$E50</f>
        <v>1602446176.3265171</v>
      </c>
      <c r="BN50" s="247">
        <f>'Supply calc &gt;&gt;&gt;'!L50*'National data'!$Z52/1000000</f>
        <v>35305.361836812815</v>
      </c>
      <c r="BO50" s="229">
        <f>'Supply calc &gt;&gt;&gt;'!L50*Multipliers!$E50</f>
        <v>5298212553.9555387</v>
      </c>
      <c r="BP50" s="247">
        <f>'Supply calc &gt;&gt;&gt;'!N50*'National data'!$Z52/1000000</f>
        <v>549.7950062475245</v>
      </c>
      <c r="BQ50" s="229">
        <f>'Supply calc &gt;&gt;&gt;'!N50*Multipliers!$E50</f>
        <v>82506754.007131919</v>
      </c>
      <c r="BR50" s="118">
        <f>'Supply calc &gt;&gt;&gt;'!P50*'National data'!Z52/1000000</f>
        <v>5615.2941315034059</v>
      </c>
      <c r="BS50" s="192">
        <f>'Supply calc &gt;&gt;&gt;'!P50*Multipliers!E50</f>
        <v>842677154.79587269</v>
      </c>
      <c r="BT50" s="118">
        <f>'Supply calc &gt;&gt;&gt;'!R50*'National data'!$Z52/1000000</f>
        <v>3739.846753741776</v>
      </c>
      <c r="BU50" s="192">
        <f>'Supply calc &gt;&gt;&gt;'!R50*Multipliers!$E50</f>
        <v>561232118.56970727</v>
      </c>
      <c r="BV50" s="118">
        <f>'Supply calc &gt;&gt;&gt;'!T50*'National data'!$Z52/1000000</f>
        <v>1866.8951098658206</v>
      </c>
      <c r="BW50" s="240">
        <f>'Supply calc &gt;&gt;&gt;'!T50*Multipliers!$E50</f>
        <v>280161612.66744924</v>
      </c>
      <c r="BX50" s="78">
        <f>'Supply calc &gt;&gt;&gt;'!V50*'National data'!$Z52/1000000</f>
        <v>1667.9493298512079</v>
      </c>
      <c r="BY50" s="192">
        <f>'Supply calc &gt;&gt;&gt;'!V50*Multipliers!$E50</f>
        <v>250306175.01177749</v>
      </c>
      <c r="BZ50" s="118">
        <f>'Supply calc &gt;&gt;&gt;'!X50*'National data'!$Z52/1000000</f>
        <v>50.636042261985878</v>
      </c>
      <c r="CA50" s="192">
        <f>'Supply calc &gt;&gt;&gt;'!X50*Multipliers!$E50</f>
        <v>7598860.366737308</v>
      </c>
      <c r="CB50" s="234">
        <f>'Supply calc &gt;&gt;&gt;'!Z50*'National data'!$Z52/1000000</f>
        <v>5076.0862604650665</v>
      </c>
      <c r="CC50" s="229">
        <f>'Supply calc &gt;&gt;&gt;'!Z50*Multipliers!$E50</f>
        <v>761759193.24850941</v>
      </c>
    </row>
    <row r="51" spans="1:81">
      <c r="A51" s="13">
        <v>50</v>
      </c>
      <c r="B51" s="14" t="s">
        <v>558</v>
      </c>
      <c r="C51" s="14" t="s">
        <v>559</v>
      </c>
      <c r="D51" s="14">
        <v>0</v>
      </c>
      <c r="E51" s="193">
        <f>'Supply calc &gt;&gt;&gt;'!E51*'Farms proportions'!AK52</f>
        <v>31392344.819875106</v>
      </c>
      <c r="F51" s="118">
        <f>E51/'National data'!$S53/'Assumptions data'!$AA52</f>
        <v>597.94942514047818</v>
      </c>
      <c r="G51" s="251">
        <f>'Supply calc &gt;&gt;&gt;'!E51*'Farms proportions'!AL52</f>
        <v>0</v>
      </c>
      <c r="H51" s="118">
        <f>G51/'National data'!$T53/'Assumptions data'!$AA52</f>
        <v>0</v>
      </c>
      <c r="I51" s="249">
        <f>F51*'National data'!V53+H51*'National data'!X52</f>
        <v>138126.31720745045</v>
      </c>
      <c r="J51" s="306">
        <f>'Supply calc &gt;&gt;&gt;'!G51*'Farms proportions'!$AK52</f>
        <v>6682827.4726930577</v>
      </c>
      <c r="K51" s="234">
        <f>J51/'National data'!$S53/'Assumptions data'!$AA52</f>
        <v>127.29195186082015</v>
      </c>
      <c r="L51" s="287">
        <f>'Supply calc &gt;&gt;&gt;'!G51*'Farms proportions'!$AL52</f>
        <v>0</v>
      </c>
      <c r="M51" s="118">
        <f>L51/'National data'!$T53/'Assumptions data'!$AA52</f>
        <v>0</v>
      </c>
      <c r="N51" s="249">
        <f>K51*'National data'!$V53+M51*'National data'!$X52</f>
        <v>29404.440879849455</v>
      </c>
      <c r="O51" s="306">
        <f>'Supply calc &gt;&gt;&gt;'!I51*'Farms proportions'!$AK52</f>
        <v>7492274.7785916869</v>
      </c>
      <c r="P51" s="234">
        <f>O51/'National data'!$S53/'Assumptions data'!$AA52</f>
        <v>142.7099957826988</v>
      </c>
      <c r="Q51" s="287">
        <f>'Supply calc &gt;&gt;&gt;'!I51*'Farms proportions'!$AL52</f>
        <v>0</v>
      </c>
      <c r="R51" s="118">
        <f>Q51/'National data'!$T53/'Assumptions data'!$AA52</f>
        <v>0</v>
      </c>
      <c r="S51" s="249">
        <f>P51*'National data'!$V53+R51*'National data'!$X52</f>
        <v>32966.009025803425</v>
      </c>
      <c r="T51" s="306">
        <f>'Supply calc &gt;&gt;&gt;'!K51*'Farms proportions'!$AK52</f>
        <v>18337334.978121251</v>
      </c>
      <c r="U51" s="234">
        <f>T51/'National data'!$S53/'Assumptions data'!$AA52</f>
        <v>349.28257101183334</v>
      </c>
      <c r="V51" s="287">
        <f>'Supply calc &gt;&gt;&gt;'!K51*'Farms proportions'!$AL52</f>
        <v>0</v>
      </c>
      <c r="W51" s="118">
        <f>V51/'National data'!$T53/'Assumptions data'!$AA52</f>
        <v>0</v>
      </c>
      <c r="X51" s="249">
        <f>U51*'National data'!$V53+W51*'National data'!$X52</f>
        <v>80684.273903733498</v>
      </c>
      <c r="Y51" s="306">
        <f>'Supply calc &gt;&gt;&gt;'!M51*'Farms proportions'!$AK52</f>
        <v>507426.63138141809</v>
      </c>
      <c r="Z51" s="234">
        <f>Y51/'National data'!$S53/'Assumptions data'!$AA52</f>
        <v>9.6652691691698678</v>
      </c>
      <c r="AA51" s="287">
        <f>'Supply calc &gt;&gt;&gt;'!M51*'Farms proportions'!$AL52</f>
        <v>0</v>
      </c>
      <c r="AB51" s="118">
        <f>AA51/'National data'!$T53/'Assumptions data'!$AA52</f>
        <v>0</v>
      </c>
      <c r="AC51" s="249">
        <f>Z51*'National data'!$V53+AB51*'National data'!$X52</f>
        <v>2232.6771780782396</v>
      </c>
      <c r="AD51" s="193">
        <f>'Supply calc &gt;&gt;&gt;'!O51*'Farms proportions'!AK52</f>
        <v>8443241.953766901</v>
      </c>
      <c r="AE51" s="118">
        <f>AD51/'National data'!$S53/'Assumptions data'!$AA52</f>
        <v>160.82365626222668</v>
      </c>
      <c r="AF51" s="251">
        <f>'Supply calc &gt;&gt;&gt;'!O51*'Farms proportions'!AL52</f>
        <v>0</v>
      </c>
      <c r="AG51" s="118">
        <f>AF51/'National data'!$T53/'Assumptions data'!$AA52</f>
        <v>0</v>
      </c>
      <c r="AH51" s="244">
        <f>AE51*'National data'!V52+AG51*'National data'!X52</f>
        <v>37150.264596574365</v>
      </c>
      <c r="AI51" s="193">
        <f>'Supply calc &gt;&gt;&gt;'!Q51*'Farms proportions'!$AK52</f>
        <v>5500010.2179626292</v>
      </c>
      <c r="AJ51" s="118">
        <f>AI51/'National data'!$S53/'Assumptions data'!$AA52</f>
        <v>104.76209938976437</v>
      </c>
      <c r="AK51" s="251">
        <f>'Supply calc &gt;&gt;&gt;'!Q51*'Farms proportions'!$AL52</f>
        <v>0</v>
      </c>
      <c r="AL51" s="118">
        <f>AK51/'National data'!$T53/'Assumptions data'!$AA52</f>
        <v>0</v>
      </c>
      <c r="AM51" s="179">
        <f>AJ51*'National data'!$V52+AL51*'National data'!$X52</f>
        <v>24200.044959035571</v>
      </c>
      <c r="AN51" s="193">
        <f>'Supply calc &gt;&gt;&gt;'!S51*'Farms proportions'!$AK52</f>
        <v>2301715.7671820968</v>
      </c>
      <c r="AO51" s="118">
        <f>AN51/'National data'!$S53/'Assumptions data'!$AA52</f>
        <v>43.842205089182798</v>
      </c>
      <c r="AP51" s="251">
        <f>'Supply calc &gt;&gt;&gt;'!S51*'Farms proportions'!$AL52</f>
        <v>0</v>
      </c>
      <c r="AQ51" s="118">
        <f>AP51/'National data'!$T53/'Assumptions data'!$AA52</f>
        <v>0</v>
      </c>
      <c r="AR51" s="179">
        <f>AO51*'National data'!$V52+AQ51*'National data'!$X52</f>
        <v>10127.549375601226</v>
      </c>
      <c r="AS51" s="193">
        <f>'Supply calc &gt;&gt;&gt;'!U51*'Farms proportions'!$AK52</f>
        <v>2011282.9973022155</v>
      </c>
      <c r="AT51" s="118">
        <f>AS51/'National data'!$S53/'Assumptions data'!$AA52</f>
        <v>38.310152329566016</v>
      </c>
      <c r="AU51" s="251">
        <f>'Supply calc &gt;&gt;&gt;'!U51*'Farms proportions'!$AL52</f>
        <v>0</v>
      </c>
      <c r="AV51" s="118">
        <f>AU51/'National data'!$T53/'Assumptions data'!$AA52</f>
        <v>0</v>
      </c>
      <c r="AW51" s="179">
        <f>AT51*'National data'!$V52+AV51*'National data'!$X52</f>
        <v>8849.6451881297489</v>
      </c>
      <c r="AX51" s="193">
        <f>'Supply calc &gt;&gt;&gt;'!W51*'Farms proportions'!$AK52</f>
        <v>138580.30601737311</v>
      </c>
      <c r="AY51" s="118">
        <f>AX51/'National data'!$S53/'Assumptions data'!$AA52</f>
        <v>2.6396248765213928</v>
      </c>
      <c r="AZ51" s="251">
        <f>'Supply calc &gt;&gt;&gt;'!W51*'Farms proportions'!$AL52</f>
        <v>0</v>
      </c>
      <c r="BA51" s="118">
        <f>AZ51/'National data'!$T53/'Assumptions data'!$AA52</f>
        <v>0</v>
      </c>
      <c r="BB51" s="22">
        <f>AY51*'National data'!$V52+BA51*'National data'!$X52</f>
        <v>609.75334647644172</v>
      </c>
      <c r="BC51" s="168">
        <f>'Supply calc &gt;&gt;&gt;'!Y51*'Farms proportions'!AK52</f>
        <v>7828418.7118286043</v>
      </c>
      <c r="BD51" s="234">
        <f>BC51/'National data'!$S53/'Assumptions data'!$AA52</f>
        <v>149.11273736816389</v>
      </c>
      <c r="BE51" s="22">
        <f>'Supply calc &gt;&gt;&gt;'!Y51*'Farms proportions'!AL52</f>
        <v>0</v>
      </c>
      <c r="BF51" s="234">
        <f>BE51/'National data'!$T53/'Assumptions data'!$AA52</f>
        <v>0</v>
      </c>
      <c r="BG51" s="244">
        <f>BD51*'National data'!$V52+BF51*'National data'!$X52</f>
        <v>34445.042332045858</v>
      </c>
      <c r="BH51" s="22">
        <f>'Supply calc &gt;&gt;&gt;'!F51*'National data'!Z53/1000000</f>
        <v>4511.4511614125749</v>
      </c>
      <c r="BI51" s="194">
        <f>'Supply calc &gt;&gt;&gt;'!F51*Multipliers!E51</f>
        <v>584703765.8038125</v>
      </c>
      <c r="BJ51" s="289">
        <f>'Supply calc &gt;&gt;&gt;'!H51*'National data'!$Z53/1000000</f>
        <v>960.4013314772485</v>
      </c>
      <c r="BK51" s="288">
        <f>'Supply calc &gt;&gt;&gt;'!H51*Multipliers!$E51</f>
        <v>124472205.30741966</v>
      </c>
      <c r="BL51" s="289">
        <f>'Supply calc &gt;&gt;&gt;'!J51*'National data'!$Z53/1000000</f>
        <v>1076.7284809543607</v>
      </c>
      <c r="BM51" s="288">
        <f>'Supply calc &gt;&gt;&gt;'!J51*Multipliers!$E51</f>
        <v>139548711.71986938</v>
      </c>
      <c r="BN51" s="289">
        <f>'Supply calc &gt;&gt;&gt;'!L51*'National data'!$Z53/1000000</f>
        <v>2635.291873191959</v>
      </c>
      <c r="BO51" s="288">
        <f>'Supply calc &gt;&gt;&gt;'!L51*Multipliers!$E51</f>
        <v>341545331.45052671</v>
      </c>
      <c r="BP51" s="289">
        <f>'Supply calc &gt;&gt;&gt;'!N51*'National data'!$Z53/1000000</f>
        <v>72.923207189926529</v>
      </c>
      <c r="BQ51" s="288">
        <f>'Supply calc &gt;&gt;&gt;'!N51*Multipliers!$E51</f>
        <v>9451166.0068799742</v>
      </c>
      <c r="BR51" s="22">
        <f>'Supply calc &gt;&gt;&gt;'!P51*'National data'!Z53/1000000</f>
        <v>629.79383156879817</v>
      </c>
      <c r="BS51" s="194">
        <f>'Supply calc &gt;&gt;&gt;'!P51*Multipliers!E51</f>
        <v>81624030.012327179</v>
      </c>
      <c r="BT51" s="22">
        <f>'Supply calc &gt;&gt;&gt;'!R51*'National data'!$Z53/1000000</f>
        <v>410.25384891319368</v>
      </c>
      <c r="BU51" s="194">
        <f>'Supply calc &gt;&gt;&gt;'!R51*Multipliers!$E51</f>
        <v>53170689.831860028</v>
      </c>
      <c r="BV51" s="22">
        <f>'Supply calc &gt;&gt;&gt;'!T51*'National data'!$Z53/1000000</f>
        <v>171.6883633246108</v>
      </c>
      <c r="BW51" s="251">
        <f>'Supply calc &gt;&gt;&gt;'!T51*Multipliers!$E51</f>
        <v>22251561.413148738</v>
      </c>
      <c r="BX51" s="168">
        <f>'Supply calc &gt;&gt;&gt;'!V51*'National data'!$Z53/1000000</f>
        <v>150.02455599119855</v>
      </c>
      <c r="BY51" s="194">
        <f>'Supply calc &gt;&gt;&gt;'!V51*Multipliers!$E51</f>
        <v>19443837.40677198</v>
      </c>
      <c r="BZ51" s="22">
        <f>'Supply calc &gt;&gt;&gt;'!X51*'National data'!$Z53/1000000</f>
        <v>10.336908782735978</v>
      </c>
      <c r="CA51" s="194">
        <f>'Supply calc &gt;&gt;&gt;'!X51*Multipliers!$E51</f>
        <v>1339708.5052659181</v>
      </c>
      <c r="CB51" s="249">
        <f>'Supply calc &gt;&gt;&gt;'!Z51*'National data'!$Z53/1000000</f>
        <v>583.93326196790963</v>
      </c>
      <c r="CC51" s="288">
        <f>'Supply calc &gt;&gt;&gt;'!Z51*Multipliers!$E51</f>
        <v>75680299.982198372</v>
      </c>
    </row>
    <row r="52" spans="1:81">
      <c r="A52" s="4"/>
      <c r="B52" s="4"/>
      <c r="C52" s="4"/>
      <c r="D52" s="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3">
        <f>SUM(AD2:AD51)</f>
        <v>554634056.68867445</v>
      </c>
      <c r="AE52" s="378">
        <f>SUM(AE2:AE51)</f>
        <v>10564.458222641419</v>
      </c>
      <c r="AF52" s="253">
        <f>SUM(AF2:AF51)</f>
        <v>1064385650.1554934</v>
      </c>
      <c r="AG52" s="378">
        <f>SUM(AG2:AG51)</f>
        <v>5256.225432866634</v>
      </c>
      <c r="BH52" s="218"/>
      <c r="BI52" s="253"/>
      <c r="BJ52" s="253"/>
      <c r="BK52" s="253"/>
      <c r="BL52" s="253"/>
      <c r="BM52" s="253"/>
      <c r="BN52" s="253"/>
      <c r="BO52" s="253"/>
      <c r="BP52" s="253"/>
      <c r="BQ52" s="253"/>
    </row>
    <row r="53" spans="1:81">
      <c r="A53" s="4"/>
      <c r="B53" s="4"/>
      <c r="C53" s="4"/>
      <c r="D53" s="4"/>
      <c r="AE53" s="118">
        <f>AD52/AE52</f>
        <v>52500</v>
      </c>
      <c r="AG53" s="118">
        <f>AF52/AG52</f>
        <v>202500</v>
      </c>
    </row>
    <row r="54" spans="1:81">
      <c r="A54" s="4"/>
      <c r="B54" s="4"/>
      <c r="C54" s="4"/>
      <c r="D54" s="4"/>
    </row>
    <row r="55" spans="1:81">
      <c r="A55" s="4"/>
      <c r="B55" s="4"/>
      <c r="C55" s="4"/>
      <c r="D55" s="4"/>
    </row>
    <row r="56" spans="1:81">
      <c r="A56" s="4"/>
      <c r="B56" s="4"/>
      <c r="C56" s="4"/>
      <c r="D56" s="4"/>
    </row>
    <row r="57" spans="1:81">
      <c r="A57" s="4"/>
      <c r="B57" s="4"/>
      <c r="C57" s="4"/>
      <c r="D57" s="4"/>
    </row>
    <row r="58" spans="1:81">
      <c r="A58" s="4"/>
      <c r="B58" s="4"/>
      <c r="C58" s="4"/>
      <c r="D58" s="4"/>
    </row>
    <row r="59" spans="1:81">
      <c r="A59" s="4"/>
      <c r="B59" s="4"/>
      <c r="C59" s="4"/>
      <c r="D59" s="4"/>
    </row>
    <row r="60" spans="1:81">
      <c r="A60" s="4"/>
      <c r="B60" s="4"/>
      <c r="C60" s="4"/>
      <c r="D60" s="4"/>
    </row>
    <row r="61" spans="1:81">
      <c r="A61" s="4"/>
      <c r="B61" s="4"/>
      <c r="C61" s="4"/>
      <c r="D61" s="4"/>
    </row>
    <row r="62" spans="1:81">
      <c r="A62" s="4"/>
      <c r="B62" s="4"/>
      <c r="C62" s="4"/>
      <c r="D62" s="4"/>
    </row>
    <row r="63" spans="1:81">
      <c r="A63" s="4"/>
      <c r="B63" s="4"/>
      <c r="C63" s="4"/>
      <c r="D63" s="4"/>
    </row>
    <row r="64" spans="1:81">
      <c r="A64" s="4"/>
      <c r="B64" s="4"/>
      <c r="C64" s="4"/>
      <c r="D64" s="4"/>
    </row>
    <row r="65" spans="1:4">
      <c r="A65" s="4"/>
      <c r="B65" s="4"/>
      <c r="C65" s="4"/>
      <c r="D65" s="4"/>
    </row>
    <row r="66" spans="1:4">
      <c r="A66" s="4"/>
      <c r="B66" s="4"/>
      <c r="C66" s="4"/>
      <c r="D66" s="4"/>
    </row>
    <row r="67" spans="1:4">
      <c r="A67" s="4"/>
      <c r="B67" s="4"/>
      <c r="C67" s="4"/>
      <c r="D67" s="4"/>
    </row>
    <row r="68" spans="1:4">
      <c r="A68" s="4"/>
      <c r="B68" s="4"/>
      <c r="C68" s="4"/>
      <c r="D68" s="4"/>
    </row>
    <row r="69" spans="1:4">
      <c r="A69" s="4"/>
      <c r="B69" s="4"/>
      <c r="C69" s="4"/>
      <c r="D69" s="4"/>
    </row>
    <row r="70" spans="1:4">
      <c r="A70" s="4"/>
      <c r="B70" s="4"/>
      <c r="C70" s="4"/>
      <c r="D70" s="4"/>
    </row>
    <row r="71" spans="1:4">
      <c r="A71" s="4"/>
      <c r="B71" s="4"/>
      <c r="C71" s="4"/>
      <c r="D71" s="4"/>
    </row>
    <row r="72" spans="1:4">
      <c r="A72" s="4"/>
      <c r="B72" s="4"/>
      <c r="C72" s="4"/>
      <c r="D72" s="4"/>
    </row>
    <row r="73" spans="1:4">
      <c r="A73" s="4"/>
      <c r="B73" s="4"/>
      <c r="C73" s="4"/>
      <c r="D73" s="4"/>
    </row>
    <row r="74" spans="1:4">
      <c r="A74" s="4"/>
      <c r="B74" s="4"/>
      <c r="C74" s="4"/>
      <c r="D74" s="4"/>
    </row>
    <row r="75" spans="1:4">
      <c r="A75" s="4"/>
      <c r="B75" s="4"/>
      <c r="C75" s="4"/>
      <c r="D75" s="4"/>
    </row>
    <row r="76" spans="1:4">
      <c r="A76" s="4"/>
      <c r="B76" s="4"/>
      <c r="C76" s="4"/>
      <c r="D76" s="4"/>
    </row>
    <row r="77" spans="1:4">
      <c r="A77" s="4"/>
      <c r="B77" s="4"/>
      <c r="C77" s="4"/>
      <c r="D77" s="4"/>
    </row>
    <row r="78" spans="1:4">
      <c r="A78" s="4"/>
      <c r="B78" s="4"/>
      <c r="C78" s="4"/>
      <c r="D78" s="4"/>
    </row>
    <row r="79" spans="1:4">
      <c r="A79" s="4"/>
      <c r="B79" s="4"/>
      <c r="C79" s="4"/>
      <c r="D79" s="4"/>
    </row>
    <row r="80" spans="1:4">
      <c r="A80" s="4"/>
      <c r="B80" s="4"/>
      <c r="C80" s="4"/>
      <c r="D80" s="4"/>
    </row>
    <row r="81" spans="1:4">
      <c r="A81" s="4"/>
      <c r="B81" s="4"/>
      <c r="C81" s="4"/>
      <c r="D81" s="4"/>
    </row>
    <row r="82" spans="1:4">
      <c r="A82" s="4"/>
      <c r="B82" s="4"/>
      <c r="C82" s="4"/>
      <c r="D82" s="4"/>
    </row>
    <row r="83" spans="1:4">
      <c r="A83" s="4"/>
      <c r="B83" s="4"/>
      <c r="C83" s="4"/>
      <c r="D83" s="4"/>
    </row>
    <row r="84" spans="1:4">
      <c r="A84" s="4"/>
      <c r="B84" s="4"/>
      <c r="C84" s="4"/>
      <c r="D84" s="4"/>
    </row>
    <row r="85" spans="1:4">
      <c r="A85" s="4"/>
      <c r="B85" s="4"/>
      <c r="C85" s="4"/>
      <c r="D85" s="4"/>
    </row>
    <row r="86" spans="1:4">
      <c r="A86" s="4"/>
      <c r="B86" s="4"/>
      <c r="C86" s="4"/>
      <c r="D86" s="4"/>
    </row>
    <row r="87" spans="1:4">
      <c r="A87" s="4"/>
      <c r="B87" s="4"/>
      <c r="C87" s="4"/>
      <c r="D87" s="4"/>
    </row>
    <row r="88" spans="1:4">
      <c r="A88" s="4"/>
      <c r="B88" s="4"/>
      <c r="C88" s="4"/>
      <c r="D88" s="4"/>
    </row>
    <row r="89" spans="1:4">
      <c r="A89" s="4"/>
      <c r="B89" s="4"/>
      <c r="C89" s="4"/>
      <c r="D89" s="4"/>
    </row>
    <row r="90" spans="1:4">
      <c r="A90" s="4"/>
      <c r="B90" s="4"/>
      <c r="C90" s="4"/>
      <c r="D90" s="4"/>
    </row>
    <row r="91" spans="1:4">
      <c r="A91" s="4"/>
      <c r="B91" s="4"/>
      <c r="C91" s="4"/>
      <c r="D91" s="4"/>
    </row>
    <row r="92" spans="1:4">
      <c r="A92" s="4"/>
      <c r="B92" s="4"/>
      <c r="C92" s="4"/>
      <c r="D92" s="4"/>
    </row>
    <row r="93" spans="1:4">
      <c r="A93" s="4"/>
      <c r="B93" s="4"/>
      <c r="C93" s="4"/>
      <c r="D93" s="4"/>
    </row>
    <row r="94" spans="1:4">
      <c r="A94" s="4"/>
      <c r="B94" s="4"/>
      <c r="C94" s="4"/>
      <c r="D94" s="4"/>
    </row>
    <row r="95" spans="1:4">
      <c r="A95" s="4"/>
      <c r="B95" s="4"/>
      <c r="C95" s="4"/>
      <c r="D95" s="4"/>
    </row>
    <row r="96" spans="1:4">
      <c r="A96" s="4"/>
      <c r="B96" s="4"/>
      <c r="C96" s="4"/>
      <c r="D96" s="4"/>
    </row>
    <row r="97" spans="1:4">
      <c r="A97" s="4"/>
      <c r="B97" s="4"/>
      <c r="C97" s="4"/>
      <c r="D97" s="4"/>
    </row>
    <row r="98" spans="1:4">
      <c r="A98" s="4"/>
      <c r="B98" s="4"/>
      <c r="C98" s="4"/>
      <c r="D98" s="4"/>
    </row>
    <row r="99" spans="1:4">
      <c r="A99" s="4"/>
      <c r="B99" s="4"/>
      <c r="C99" s="4"/>
      <c r="D99" s="4"/>
    </row>
    <row r="100" spans="1:4">
      <c r="A100" s="4"/>
      <c r="B100" s="4"/>
      <c r="C100" s="4"/>
      <c r="D100" s="4"/>
    </row>
    <row r="101" spans="1:4">
      <c r="A101" s="4"/>
      <c r="B101" s="4"/>
      <c r="C101" s="4"/>
      <c r="D101" s="4"/>
    </row>
    <row r="102" spans="1:4">
      <c r="A102" s="4"/>
      <c r="B102" s="4"/>
      <c r="C102" s="4"/>
      <c r="D102" s="4"/>
    </row>
    <row r="103" spans="1:4">
      <c r="A103" s="4"/>
      <c r="B103" s="4"/>
      <c r="C103" s="4"/>
      <c r="D103" s="4"/>
    </row>
    <row r="104" spans="1:4">
      <c r="A104" s="4"/>
      <c r="B104" s="4"/>
      <c r="C104" s="4"/>
      <c r="D104" s="4"/>
    </row>
    <row r="105" spans="1:4">
      <c r="A105" s="4"/>
      <c r="B105" s="4"/>
      <c r="C105" s="4"/>
      <c r="D105" s="4"/>
    </row>
    <row r="106" spans="1:4">
      <c r="A106" s="4"/>
      <c r="B106" s="4"/>
      <c r="C106" s="4"/>
      <c r="D106" s="4"/>
    </row>
    <row r="107" spans="1:4">
      <c r="A107" s="4"/>
      <c r="B107" s="4"/>
      <c r="C107" s="4"/>
      <c r="D107" s="4"/>
    </row>
    <row r="108" spans="1:4">
      <c r="A108" s="4"/>
      <c r="B108" s="4"/>
      <c r="C108" s="4"/>
      <c r="D108" s="4"/>
    </row>
    <row r="109" spans="1:4">
      <c r="A109" s="4"/>
      <c r="B109" s="4"/>
      <c r="C109" s="4"/>
      <c r="D109" s="4"/>
    </row>
    <row r="110" spans="1:4">
      <c r="A110" s="4"/>
      <c r="B110" s="4"/>
      <c r="C110" s="4"/>
      <c r="D110" s="4"/>
    </row>
    <row r="111" spans="1:4">
      <c r="A111" s="4"/>
      <c r="B111" s="4"/>
      <c r="C111" s="4"/>
      <c r="D111" s="4"/>
    </row>
    <row r="112" spans="1:4">
      <c r="A112" s="4"/>
      <c r="B112" s="4"/>
      <c r="C112" s="4"/>
      <c r="D112" s="4"/>
    </row>
    <row r="113" spans="1:4">
      <c r="A113" s="4"/>
      <c r="B113" s="4"/>
      <c r="C113" s="4"/>
      <c r="D113" s="4"/>
    </row>
    <row r="114" spans="1:4">
      <c r="A114" s="4"/>
      <c r="B114" s="4"/>
      <c r="C114" s="4"/>
      <c r="D114" s="4"/>
    </row>
    <row r="115" spans="1:4">
      <c r="A115" s="4"/>
      <c r="B115" s="4"/>
      <c r="C115" s="4"/>
      <c r="D115" s="4"/>
    </row>
    <row r="116" spans="1:4">
      <c r="A116" s="4"/>
      <c r="B116" s="4"/>
      <c r="C116" s="4"/>
      <c r="D116" s="4"/>
    </row>
    <row r="117" spans="1:4">
      <c r="A117" s="4"/>
      <c r="B117" s="4"/>
      <c r="C117" s="4"/>
      <c r="D117" s="4"/>
    </row>
    <row r="118" spans="1:4">
      <c r="A118" s="4"/>
      <c r="B118" s="4"/>
      <c r="C118" s="4"/>
      <c r="D118" s="4"/>
    </row>
    <row r="119" spans="1:4">
      <c r="A119" s="4"/>
      <c r="B119" s="4"/>
      <c r="C119" s="4"/>
      <c r="D119" s="4"/>
    </row>
    <row r="120" spans="1:4">
      <c r="A120" s="4"/>
      <c r="B120" s="4"/>
      <c r="C120" s="4"/>
      <c r="D120" s="4"/>
    </row>
    <row r="121" spans="1:4">
      <c r="A121" s="4"/>
      <c r="B121" s="4"/>
      <c r="C121" s="4"/>
      <c r="D121" s="4"/>
    </row>
    <row r="122" spans="1:4">
      <c r="A122" s="4"/>
      <c r="B122" s="4"/>
      <c r="C122" s="4"/>
      <c r="D122" s="4"/>
    </row>
    <row r="123" spans="1:4">
      <c r="A123" s="4"/>
      <c r="B123" s="4"/>
      <c r="C123" s="4"/>
      <c r="D123" s="4"/>
    </row>
    <row r="124" spans="1:4">
      <c r="A124" s="4"/>
      <c r="B124" s="4"/>
      <c r="C124" s="4"/>
      <c r="D124" s="4"/>
    </row>
    <row r="125" spans="1:4">
      <c r="A125" s="4"/>
      <c r="B125" s="4"/>
      <c r="C125" s="4"/>
      <c r="D125" s="4"/>
    </row>
    <row r="126" spans="1:4">
      <c r="A126" s="4"/>
      <c r="B126" s="4"/>
      <c r="C126" s="4"/>
      <c r="D126" s="4"/>
    </row>
    <row r="127" spans="1:4">
      <c r="A127" s="4"/>
      <c r="B127" s="4"/>
      <c r="C127" s="4"/>
      <c r="D127" s="4"/>
    </row>
    <row r="128" spans="1:4">
      <c r="A128" s="4"/>
      <c r="B128" s="4"/>
      <c r="C128" s="4"/>
      <c r="D128" s="4"/>
    </row>
    <row r="129" spans="1:4">
      <c r="A129" s="4"/>
      <c r="B129" s="4"/>
      <c r="C129" s="4"/>
      <c r="D129" s="4"/>
    </row>
    <row r="130" spans="1:4">
      <c r="A130" s="4"/>
      <c r="B130" s="4"/>
      <c r="C130" s="4"/>
      <c r="D130" s="4"/>
    </row>
    <row r="131" spans="1:4">
      <c r="A131" s="4"/>
      <c r="B131" s="4"/>
      <c r="C131" s="4"/>
      <c r="D131" s="4"/>
    </row>
    <row r="132" spans="1:4">
      <c r="A132" s="4"/>
      <c r="B132" s="4"/>
      <c r="C132" s="4"/>
      <c r="D132" s="4"/>
    </row>
    <row r="133" spans="1:4">
      <c r="A133" s="4"/>
      <c r="B133" s="4"/>
      <c r="C133" s="4"/>
      <c r="D133" s="4"/>
    </row>
    <row r="134" spans="1:4">
      <c r="A134" s="4"/>
      <c r="B134" s="4"/>
      <c r="C134" s="4"/>
      <c r="D134" s="4"/>
    </row>
    <row r="135" spans="1:4">
      <c r="A135" s="4"/>
      <c r="B135" s="4"/>
      <c r="C135" s="4"/>
      <c r="D135" s="4"/>
    </row>
    <row r="136" spans="1:4">
      <c r="A136" s="4"/>
      <c r="B136" s="4"/>
      <c r="C136" s="4"/>
      <c r="D136" s="4"/>
    </row>
    <row r="137" spans="1:4">
      <c r="A137" s="4"/>
      <c r="B137" s="4"/>
      <c r="C137" s="4"/>
      <c r="D137" s="4"/>
    </row>
    <row r="138" spans="1:4">
      <c r="A138" s="4"/>
      <c r="B138" s="4"/>
      <c r="C138" s="4"/>
      <c r="D138" s="4"/>
    </row>
    <row r="139" spans="1:4">
      <c r="A139" s="4"/>
      <c r="B139" s="4"/>
      <c r="C139" s="4"/>
      <c r="D139" s="4"/>
    </row>
    <row r="140" spans="1:4">
      <c r="A140" s="4"/>
      <c r="B140" s="4"/>
      <c r="C140" s="4"/>
      <c r="D140" s="4"/>
    </row>
    <row r="141" spans="1:4">
      <c r="A141" s="4"/>
      <c r="B141" s="4"/>
      <c r="C141" s="4"/>
      <c r="D141" s="4"/>
    </row>
    <row r="142" spans="1:4">
      <c r="A142" s="4"/>
      <c r="B142" s="4"/>
      <c r="C142" s="4"/>
      <c r="D142" s="4"/>
    </row>
    <row r="143" spans="1:4">
      <c r="A143" s="4"/>
      <c r="B143" s="4"/>
      <c r="C143" s="4"/>
      <c r="D143" s="4"/>
    </row>
    <row r="144" spans="1:4">
      <c r="A144" s="4"/>
      <c r="B144" s="4"/>
      <c r="C144" s="4"/>
      <c r="D144" s="4"/>
    </row>
    <row r="145" spans="1:4">
      <c r="A145" s="4"/>
      <c r="B145" s="4"/>
      <c r="C145" s="4"/>
      <c r="D145" s="4"/>
    </row>
    <row r="146" spans="1:4">
      <c r="A146" s="4"/>
      <c r="B146" s="4"/>
      <c r="C146" s="4"/>
      <c r="D146" s="4"/>
    </row>
    <row r="147" spans="1:4">
      <c r="A147" s="4"/>
      <c r="B147" s="4"/>
      <c r="C147" s="4"/>
      <c r="D147" s="4"/>
    </row>
    <row r="148" spans="1:4">
      <c r="A148" s="4"/>
      <c r="B148" s="4"/>
      <c r="C148" s="4"/>
      <c r="D148" s="4"/>
    </row>
    <row r="149" spans="1:4">
      <c r="A149" s="4"/>
      <c r="B149" s="4"/>
      <c r="C149" s="4"/>
      <c r="D149" s="4"/>
    </row>
    <row r="150" spans="1:4">
      <c r="A150" s="4"/>
      <c r="B150" s="4"/>
      <c r="C150" s="4"/>
      <c r="D150" s="4"/>
    </row>
    <row r="151" spans="1:4">
      <c r="A151" s="4"/>
      <c r="B151" s="4"/>
      <c r="C151" s="4"/>
      <c r="D151" s="4"/>
    </row>
    <row r="152" spans="1:4">
      <c r="A152" s="4"/>
      <c r="B152" s="4"/>
      <c r="C152" s="4"/>
      <c r="D152" s="4"/>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146D9-27BF-4663-97F7-05345C9AD5C5}">
  <sheetPr>
    <tabColor theme="0"/>
  </sheetPr>
  <dimension ref="A1:DE153"/>
  <sheetViews>
    <sheetView tabSelected="1" zoomScale="85" zoomScaleNormal="85" workbookViewId="0">
      <pane xSplit="3" ySplit="2" topLeftCell="AK4" activePane="bottomRight" state="frozen"/>
      <selection pane="bottomRight" activeCell="AK4" sqref="AK4"/>
      <selection pane="bottomLeft" activeCell="A3" sqref="A3"/>
      <selection pane="topRight" activeCell="D1" sqref="D1"/>
    </sheetView>
  </sheetViews>
  <sheetFormatPr defaultColWidth="11" defaultRowHeight="14.25" outlineLevelCol="1"/>
  <cols>
    <col min="1" max="1" width="7.42578125" style="1" customWidth="1"/>
    <col min="2" max="2" width="15.42578125" style="1" customWidth="1"/>
    <col min="3" max="3" width="13.42578125" style="1" customWidth="1"/>
    <col min="4" max="4" width="12.42578125" style="1" bestFit="1" customWidth="1"/>
    <col min="5" max="5" width="12.42578125" style="1" hidden="1" customWidth="1" outlineLevel="1"/>
    <col min="6" max="6" width="11" collapsed="1"/>
    <col min="36" max="36" width="13.42578125" customWidth="1"/>
    <col min="37" max="37" width="23.28515625" customWidth="1"/>
    <col min="38" max="38" width="18.85546875" customWidth="1"/>
    <col min="39" max="109" width="11" style="26"/>
  </cols>
  <sheetData>
    <row r="1" spans="1:39" ht="14.45" customHeight="1">
      <c r="A1" s="170"/>
      <c r="B1" s="171"/>
      <c r="C1" s="171"/>
      <c r="D1" s="171"/>
      <c r="E1" s="161"/>
      <c r="F1" s="410" t="s">
        <v>987</v>
      </c>
      <c r="G1" s="411"/>
      <c r="H1" s="411"/>
      <c r="I1" s="411"/>
      <c r="J1" s="411"/>
      <c r="K1" s="412"/>
      <c r="L1" s="411" t="s">
        <v>988</v>
      </c>
      <c r="M1" s="411"/>
      <c r="N1" s="411"/>
      <c r="O1" s="411"/>
      <c r="P1" s="411"/>
      <c r="Q1" s="412"/>
      <c r="R1" s="411" t="s">
        <v>989</v>
      </c>
      <c r="S1" s="411"/>
      <c r="T1" s="411"/>
      <c r="U1" s="411"/>
      <c r="V1" s="411"/>
      <c r="W1" s="412"/>
      <c r="X1" s="411" t="s">
        <v>990</v>
      </c>
      <c r="Y1" s="411"/>
      <c r="Z1" s="411"/>
      <c r="AA1" s="411"/>
      <c r="AB1" s="411"/>
      <c r="AC1" s="412"/>
      <c r="AD1" s="411" t="s">
        <v>991</v>
      </c>
      <c r="AE1" s="411"/>
      <c r="AF1" s="411"/>
      <c r="AG1" s="411"/>
      <c r="AH1" s="411"/>
      <c r="AI1" s="412"/>
      <c r="AJ1" s="162"/>
      <c r="AK1" s="163"/>
      <c r="AL1" s="163"/>
      <c r="AM1" s="309"/>
    </row>
    <row r="2" spans="1:39" ht="36.6" customHeight="1">
      <c r="A2" s="164" t="s">
        <v>278</v>
      </c>
      <c r="B2" s="70" t="s">
        <v>279</v>
      </c>
      <c r="C2" s="70" t="s">
        <v>280</v>
      </c>
      <c r="D2" s="70" t="s">
        <v>281</v>
      </c>
      <c r="E2" s="152" t="s">
        <v>992</v>
      </c>
      <c r="F2" s="74" t="s">
        <v>993</v>
      </c>
      <c r="G2" s="149" t="s">
        <v>994</v>
      </c>
      <c r="H2" s="149" t="s">
        <v>995</v>
      </c>
      <c r="I2" s="149" t="s">
        <v>155</v>
      </c>
      <c r="J2" s="139" t="s">
        <v>996</v>
      </c>
      <c r="K2" s="77" t="s">
        <v>997</v>
      </c>
      <c r="L2" s="149" t="s">
        <v>993</v>
      </c>
      <c r="M2" s="149" t="s">
        <v>994</v>
      </c>
      <c r="N2" s="149" t="s">
        <v>995</v>
      </c>
      <c r="O2" s="149" t="s">
        <v>155</v>
      </c>
      <c r="P2" s="139" t="s">
        <v>996</v>
      </c>
      <c r="Q2" s="77" t="s">
        <v>997</v>
      </c>
      <c r="R2" s="149" t="s">
        <v>993</v>
      </c>
      <c r="S2" s="149" t="s">
        <v>994</v>
      </c>
      <c r="T2" s="149" t="s">
        <v>995</v>
      </c>
      <c r="U2" s="149" t="s">
        <v>155</v>
      </c>
      <c r="V2" s="139" t="s">
        <v>996</v>
      </c>
      <c r="W2" s="77" t="s">
        <v>997</v>
      </c>
      <c r="X2" s="149" t="s">
        <v>993</v>
      </c>
      <c r="Y2" s="149" t="s">
        <v>994</v>
      </c>
      <c r="Z2" s="149" t="s">
        <v>995</v>
      </c>
      <c r="AA2" s="149" t="s">
        <v>155</v>
      </c>
      <c r="AB2" s="139" t="s">
        <v>996</v>
      </c>
      <c r="AC2" s="77" t="s">
        <v>997</v>
      </c>
      <c r="AD2" s="149" t="s">
        <v>993</v>
      </c>
      <c r="AE2" s="149" t="s">
        <v>994</v>
      </c>
      <c r="AF2" s="149" t="s">
        <v>995</v>
      </c>
      <c r="AG2" s="149" t="s">
        <v>155</v>
      </c>
      <c r="AH2" s="139" t="s">
        <v>996</v>
      </c>
      <c r="AI2" s="77" t="s">
        <v>997</v>
      </c>
      <c r="AJ2" s="79" t="s">
        <v>998</v>
      </c>
      <c r="AK2" s="139" t="s">
        <v>254</v>
      </c>
      <c r="AL2" s="139" t="s">
        <v>257</v>
      </c>
      <c r="AM2" s="255" t="s">
        <v>999</v>
      </c>
    </row>
    <row r="3" spans="1:39">
      <c r="A3" s="9">
        <v>1</v>
      </c>
      <c r="B3" s="1" t="s">
        <v>304</v>
      </c>
      <c r="C3" s="1" t="s">
        <v>305</v>
      </c>
      <c r="D3" s="1">
        <v>0</v>
      </c>
      <c r="E3" s="65" t="s">
        <v>1000</v>
      </c>
      <c r="F3" s="76"/>
      <c r="I3">
        <v>0</v>
      </c>
      <c r="J3" s="140">
        <f t="shared" ref="J3:J34" si="0">IFERROR(F3/$I3, )</f>
        <v>0</v>
      </c>
      <c r="K3" s="140">
        <f t="shared" ref="K3:K34" si="1">IFERROR(G3/$I3, )</f>
        <v>0</v>
      </c>
      <c r="L3" s="165">
        <v>15954.5</v>
      </c>
      <c r="M3" s="165">
        <v>11337</v>
      </c>
      <c r="N3" s="165">
        <v>28987</v>
      </c>
      <c r="O3" s="165">
        <v>56278.5</v>
      </c>
      <c r="P3" s="140">
        <f t="shared" ref="P3:P34" si="2">IFERROR(L3/$O3, )</f>
        <v>0.28349191964959974</v>
      </c>
      <c r="Q3" s="140">
        <f t="shared" ref="Q3:Q34" si="3">IFERROR(M3/$O3, )</f>
        <v>0.20144460140195633</v>
      </c>
      <c r="R3" s="165">
        <v>12659.5</v>
      </c>
      <c r="S3" s="165" t="s">
        <v>1001</v>
      </c>
      <c r="T3" s="165">
        <v>7558</v>
      </c>
      <c r="U3" s="165">
        <v>20217.5</v>
      </c>
      <c r="V3" s="140">
        <f t="shared" ref="V3:V34" si="4">IFERROR(R3/$U3, )</f>
        <v>0.62616545072338325</v>
      </c>
      <c r="W3" s="140">
        <f t="shared" ref="W3:W34" si="5">IFERROR(S3/$U3, )</f>
        <v>0</v>
      </c>
      <c r="X3" s="165">
        <v>411</v>
      </c>
      <c r="Y3" s="165">
        <v>3887</v>
      </c>
      <c r="Z3" s="165">
        <v>4299</v>
      </c>
      <c r="AA3" s="165">
        <v>8597</v>
      </c>
      <c r="AB3" s="140">
        <f t="shared" ref="AB3:AB34" si="6">IFERROR(X3/$AA3, )</f>
        <v>4.7807374665581014E-2</v>
      </c>
      <c r="AC3" s="140">
        <f t="shared" ref="AC3:AC34" si="7">IFERROR(Y3/$AA3, )</f>
        <v>0.45213446551122483</v>
      </c>
      <c r="AD3" s="165">
        <v>1531475</v>
      </c>
      <c r="AE3" s="165">
        <v>2445758</v>
      </c>
      <c r="AF3" s="165">
        <v>392516</v>
      </c>
      <c r="AG3" s="165">
        <v>4369749</v>
      </c>
      <c r="AH3" s="140">
        <f t="shared" ref="AH3:AH34" si="8">IFERROR(AD3/$AG3, )</f>
        <v>0.35047207516953494</v>
      </c>
      <c r="AI3" s="140">
        <f t="shared" ref="AI3:AI34" si="9">IFERROR(AE3/$AG3, )</f>
        <v>0.55970217053656857</v>
      </c>
      <c r="AJ3" s="78">
        <f t="shared" ref="AJ3:AJ34" si="10">SUM(I3,O3,U3,AA3,AG3)</f>
        <v>4454842</v>
      </c>
      <c r="AK3" s="123">
        <f t="shared" ref="AK3:AK34" si="11">((J3*$I3)+(P3*$O3)+(V3*$U3)+(AB3*$AA3)+(AH3*$AG3))/$AJ3</f>
        <v>0.35029300702471605</v>
      </c>
      <c r="AL3" s="123">
        <f t="shared" ref="AL3:AL34" si="12">((K3*$I3)+(Q3*$O3)+(W3*$U3)+(AC3*$AA3)+(AI3*$AG3))/$AJ3</f>
        <v>0.55242857097962172</v>
      </c>
      <c r="AM3" s="310">
        <f t="shared" ref="AM3:AM34" si="13">AK3+AL3</f>
        <v>0.90272157800433783</v>
      </c>
    </row>
    <row r="4" spans="1:39">
      <c r="A4" s="9">
        <v>2</v>
      </c>
      <c r="B4" s="1" t="s">
        <v>314</v>
      </c>
      <c r="C4" s="1" t="s">
        <v>315</v>
      </c>
      <c r="D4" s="1">
        <v>1</v>
      </c>
      <c r="E4" s="65" t="s">
        <v>1000</v>
      </c>
      <c r="F4" s="76"/>
      <c r="I4">
        <v>0</v>
      </c>
      <c r="J4" s="140">
        <f t="shared" si="0"/>
        <v>0</v>
      </c>
      <c r="K4" s="140">
        <f t="shared" si="1"/>
        <v>0</v>
      </c>
      <c r="L4" s="165">
        <v>2000</v>
      </c>
      <c r="M4" s="165"/>
      <c r="O4" s="165">
        <v>2000</v>
      </c>
      <c r="P4" s="140">
        <f t="shared" si="2"/>
        <v>1</v>
      </c>
      <c r="Q4" s="140">
        <f t="shared" si="3"/>
        <v>0</v>
      </c>
      <c r="R4" s="165">
        <v>490</v>
      </c>
      <c r="S4" s="165" t="s">
        <v>1002</v>
      </c>
      <c r="T4">
        <v>0</v>
      </c>
      <c r="U4" s="165">
        <v>490</v>
      </c>
      <c r="V4" s="140">
        <f t="shared" si="4"/>
        <v>1</v>
      </c>
      <c r="W4" s="140">
        <f t="shared" si="5"/>
        <v>0</v>
      </c>
      <c r="X4" s="165">
        <v>0</v>
      </c>
      <c r="Y4" s="165" t="s">
        <v>1001</v>
      </c>
      <c r="Z4">
        <v>0</v>
      </c>
      <c r="AA4" s="165">
        <v>0</v>
      </c>
      <c r="AB4" s="140">
        <f t="shared" si="6"/>
        <v>0</v>
      </c>
      <c r="AC4" s="140">
        <f t="shared" si="7"/>
        <v>0</v>
      </c>
      <c r="AD4" s="165">
        <v>0</v>
      </c>
      <c r="AE4" s="165" t="s">
        <v>1001</v>
      </c>
      <c r="AF4">
        <v>0</v>
      </c>
      <c r="AG4" s="165">
        <v>0</v>
      </c>
      <c r="AH4" s="140">
        <f t="shared" si="8"/>
        <v>0</v>
      </c>
      <c r="AI4" s="140">
        <f t="shared" si="9"/>
        <v>0</v>
      </c>
      <c r="AJ4" s="78">
        <f t="shared" si="10"/>
        <v>2490</v>
      </c>
      <c r="AK4" s="123">
        <f t="shared" si="11"/>
        <v>1</v>
      </c>
      <c r="AL4" s="123">
        <f t="shared" si="12"/>
        <v>0</v>
      </c>
      <c r="AM4" s="310">
        <f t="shared" si="13"/>
        <v>1</v>
      </c>
    </row>
    <row r="5" spans="1:39">
      <c r="A5" s="9">
        <v>3</v>
      </c>
      <c r="B5" s="1" t="s">
        <v>321</v>
      </c>
      <c r="C5" s="1" t="s">
        <v>322</v>
      </c>
      <c r="D5" s="1">
        <v>0</v>
      </c>
      <c r="E5" s="65" t="s">
        <v>1000</v>
      </c>
      <c r="F5" s="76"/>
      <c r="I5">
        <v>0</v>
      </c>
      <c r="J5" s="140">
        <f t="shared" si="0"/>
        <v>0</v>
      </c>
      <c r="K5" s="140">
        <f t="shared" si="1"/>
        <v>0</v>
      </c>
      <c r="L5" s="165">
        <v>5516.5</v>
      </c>
      <c r="M5" s="165">
        <v>2375</v>
      </c>
      <c r="N5" s="165">
        <v>626095</v>
      </c>
      <c r="O5" s="165">
        <v>633986.5</v>
      </c>
      <c r="P5" s="140">
        <f t="shared" si="2"/>
        <v>8.7012893807675712E-3</v>
      </c>
      <c r="Q5" s="140">
        <f t="shared" si="3"/>
        <v>3.7461365502262272E-3</v>
      </c>
      <c r="R5" s="165">
        <v>12953</v>
      </c>
      <c r="S5" s="165" t="s">
        <v>1001</v>
      </c>
      <c r="T5" s="165">
        <v>0</v>
      </c>
      <c r="U5" s="165">
        <v>12953</v>
      </c>
      <c r="V5" s="140">
        <f t="shared" si="4"/>
        <v>1</v>
      </c>
      <c r="W5" s="140">
        <f t="shared" si="5"/>
        <v>0</v>
      </c>
      <c r="X5" s="165">
        <v>0</v>
      </c>
      <c r="Y5" s="165" t="s">
        <v>1001</v>
      </c>
      <c r="Z5" s="165">
        <v>1029901</v>
      </c>
      <c r="AA5" s="165">
        <v>1029901</v>
      </c>
      <c r="AB5" s="140">
        <f t="shared" si="6"/>
        <v>0</v>
      </c>
      <c r="AC5" s="140">
        <f t="shared" si="7"/>
        <v>0</v>
      </c>
      <c r="AD5" s="165">
        <v>859</v>
      </c>
      <c r="AE5" s="165" t="s">
        <v>1001</v>
      </c>
      <c r="AF5" s="165">
        <v>121</v>
      </c>
      <c r="AG5" s="165">
        <v>980</v>
      </c>
      <c r="AH5" s="140">
        <f t="shared" si="8"/>
        <v>0.87653061224489792</v>
      </c>
      <c r="AI5" s="140">
        <f t="shared" si="9"/>
        <v>0</v>
      </c>
      <c r="AJ5" s="78">
        <f t="shared" si="10"/>
        <v>1677820.5</v>
      </c>
      <c r="AK5" s="123">
        <f t="shared" si="11"/>
        <v>1.1520004672728698E-2</v>
      </c>
      <c r="AL5" s="123">
        <f t="shared" si="12"/>
        <v>1.4155268695310375E-3</v>
      </c>
      <c r="AM5" s="310">
        <f t="shared" si="13"/>
        <v>1.2935531542259735E-2</v>
      </c>
    </row>
    <row r="6" spans="1:39">
      <c r="A6" s="9">
        <v>4</v>
      </c>
      <c r="B6" s="1" t="s">
        <v>327</v>
      </c>
      <c r="C6" s="1" t="s">
        <v>328</v>
      </c>
      <c r="D6" s="1">
        <v>0</v>
      </c>
      <c r="E6" s="65" t="s">
        <v>1000</v>
      </c>
      <c r="F6" s="76">
        <v>7220.5</v>
      </c>
      <c r="G6" s="165">
        <v>89611</v>
      </c>
      <c r="H6" s="165">
        <v>437485.5</v>
      </c>
      <c r="I6">
        <v>534317</v>
      </c>
      <c r="J6" s="140">
        <f t="shared" si="0"/>
        <v>1.3513513513513514E-2</v>
      </c>
      <c r="K6" s="140">
        <f t="shared" si="1"/>
        <v>0.16771130246651333</v>
      </c>
      <c r="L6" s="165">
        <v>10575</v>
      </c>
      <c r="M6" s="165">
        <v>6811</v>
      </c>
      <c r="N6" s="165">
        <v>19083</v>
      </c>
      <c r="O6" s="165">
        <v>36469</v>
      </c>
      <c r="P6" s="140">
        <f t="shared" si="2"/>
        <v>0.28997230524555101</v>
      </c>
      <c r="Q6" s="140">
        <f t="shared" si="3"/>
        <v>0.18676135896240642</v>
      </c>
      <c r="R6" s="165">
        <v>6583</v>
      </c>
      <c r="S6" s="165">
        <v>2849</v>
      </c>
      <c r="T6" s="165">
        <v>0</v>
      </c>
      <c r="U6" s="165">
        <v>9432</v>
      </c>
      <c r="V6" s="140">
        <f t="shared" si="4"/>
        <v>0.69794317217981339</v>
      </c>
      <c r="W6" s="140">
        <f t="shared" si="5"/>
        <v>0.30205682782018661</v>
      </c>
      <c r="X6" s="165">
        <v>934.5</v>
      </c>
      <c r="Y6" s="165">
        <v>4880</v>
      </c>
      <c r="Z6" s="165">
        <v>5936</v>
      </c>
      <c r="AA6" s="165">
        <v>11750.5</v>
      </c>
      <c r="AB6" s="140">
        <f t="shared" si="6"/>
        <v>7.9528530700821248E-2</v>
      </c>
      <c r="AC6" s="140">
        <f t="shared" si="7"/>
        <v>0.41530147653291349</v>
      </c>
      <c r="AD6" s="165">
        <v>1505042</v>
      </c>
      <c r="AE6" s="165">
        <v>3071452</v>
      </c>
      <c r="AF6" s="165">
        <v>505449</v>
      </c>
      <c r="AG6" s="165">
        <v>5081943</v>
      </c>
      <c r="AH6" s="140">
        <f t="shared" si="8"/>
        <v>0.29615483684094845</v>
      </c>
      <c r="AI6" s="140">
        <f t="shared" si="9"/>
        <v>0.60438536992642378</v>
      </c>
      <c r="AJ6" s="78">
        <f t="shared" si="10"/>
        <v>5673911.5</v>
      </c>
      <c r="AK6" s="123">
        <f t="shared" si="11"/>
        <v>0.26971781283511381</v>
      </c>
      <c r="AL6" s="123">
        <f t="shared" si="12"/>
        <v>0.55968497217483915</v>
      </c>
      <c r="AM6" s="310">
        <f t="shared" si="13"/>
        <v>0.82940278500995301</v>
      </c>
    </row>
    <row r="7" spans="1:39">
      <c r="A7" s="9">
        <v>5</v>
      </c>
      <c r="B7" s="1" t="s">
        <v>332</v>
      </c>
      <c r="C7" s="1" t="s">
        <v>333</v>
      </c>
      <c r="D7" s="1">
        <v>1</v>
      </c>
      <c r="E7" s="65" t="s">
        <v>1000</v>
      </c>
      <c r="F7" s="75">
        <v>9518</v>
      </c>
      <c r="G7" s="165">
        <v>118526</v>
      </c>
      <c r="H7" s="165">
        <v>169939.5</v>
      </c>
      <c r="I7">
        <v>297983.5</v>
      </c>
      <c r="J7" s="140">
        <f t="shared" si="0"/>
        <v>3.1941365880996768E-2</v>
      </c>
      <c r="K7" s="140">
        <f t="shared" si="1"/>
        <v>0.397760278673148</v>
      </c>
      <c r="L7" s="165">
        <v>32766.5</v>
      </c>
      <c r="M7" s="165">
        <v>87548</v>
      </c>
      <c r="N7" s="165">
        <v>3892765.5</v>
      </c>
      <c r="O7" s="165">
        <v>4013080</v>
      </c>
      <c r="P7" s="140">
        <f t="shared" si="2"/>
        <v>8.1649256929839428E-3</v>
      </c>
      <c r="Q7" s="140">
        <f t="shared" si="3"/>
        <v>2.1815662782700571E-2</v>
      </c>
      <c r="R7" s="165">
        <v>591093</v>
      </c>
      <c r="S7" s="165">
        <v>1319603</v>
      </c>
      <c r="T7" s="165">
        <v>6604464</v>
      </c>
      <c r="U7" s="165">
        <v>8515160</v>
      </c>
      <c r="V7" s="140">
        <f t="shared" si="4"/>
        <v>6.941654648885047E-2</v>
      </c>
      <c r="W7" s="140">
        <f t="shared" si="5"/>
        <v>0.15497101639898722</v>
      </c>
      <c r="X7" s="165">
        <v>800.5</v>
      </c>
      <c r="Y7" s="165">
        <v>13642</v>
      </c>
      <c r="Z7" s="165">
        <v>4221820.5</v>
      </c>
      <c r="AA7" s="165">
        <v>4236263</v>
      </c>
      <c r="AB7" s="140">
        <f t="shared" si="6"/>
        <v>1.8896371636982877E-4</v>
      </c>
      <c r="AC7" s="140">
        <f t="shared" si="7"/>
        <v>3.2202910914643401E-3</v>
      </c>
      <c r="AD7" s="165">
        <v>24113</v>
      </c>
      <c r="AE7" s="165">
        <v>41594</v>
      </c>
      <c r="AF7" s="165">
        <v>917965</v>
      </c>
      <c r="AG7" s="165">
        <v>983672</v>
      </c>
      <c r="AH7" s="140">
        <f t="shared" si="8"/>
        <v>2.4513252384941321E-2</v>
      </c>
      <c r="AI7" s="140">
        <f t="shared" si="9"/>
        <v>4.2284420009922004E-2</v>
      </c>
      <c r="AJ7" s="78">
        <f t="shared" si="10"/>
        <v>18046158.5</v>
      </c>
      <c r="AK7" s="123">
        <f t="shared" si="11"/>
        <v>3.6478178998594075E-2</v>
      </c>
      <c r="AL7" s="123">
        <f t="shared" si="12"/>
        <v>8.7603852088520673E-2</v>
      </c>
      <c r="AM7" s="310">
        <f t="shared" si="13"/>
        <v>0.12408203108711474</v>
      </c>
    </row>
    <row r="8" spans="1:39">
      <c r="A8" s="9">
        <v>6</v>
      </c>
      <c r="B8" s="1" t="s">
        <v>337</v>
      </c>
      <c r="C8" s="1" t="s">
        <v>338</v>
      </c>
      <c r="D8" s="1">
        <v>0</v>
      </c>
      <c r="E8" s="65" t="s">
        <v>1000</v>
      </c>
      <c r="F8" s="76"/>
      <c r="I8">
        <v>0</v>
      </c>
      <c r="J8" s="140">
        <f t="shared" si="0"/>
        <v>0</v>
      </c>
      <c r="K8" s="140">
        <f t="shared" si="1"/>
        <v>0</v>
      </c>
      <c r="L8" s="165">
        <v>7645</v>
      </c>
      <c r="M8" s="165">
        <v>27487</v>
      </c>
      <c r="N8" s="165">
        <v>151782.5</v>
      </c>
      <c r="O8" s="165">
        <v>186914.5</v>
      </c>
      <c r="P8" s="140">
        <f t="shared" si="2"/>
        <v>4.0901053690323652E-2</v>
      </c>
      <c r="Q8" s="140">
        <f t="shared" si="3"/>
        <v>0.14705654189482356</v>
      </c>
      <c r="R8" s="165">
        <v>7240.5</v>
      </c>
      <c r="S8" s="165">
        <v>9532</v>
      </c>
      <c r="T8" s="165">
        <v>12721</v>
      </c>
      <c r="U8" s="165">
        <v>29493.5</v>
      </c>
      <c r="V8" s="140">
        <f t="shared" si="4"/>
        <v>0.2454947700340753</v>
      </c>
      <c r="W8" s="140">
        <f t="shared" si="5"/>
        <v>0.32318985539186601</v>
      </c>
      <c r="X8" s="165">
        <v>1380.5</v>
      </c>
      <c r="Y8" s="165">
        <v>2307</v>
      </c>
      <c r="Z8" s="165">
        <v>497177</v>
      </c>
      <c r="AA8" s="165">
        <v>500864.5</v>
      </c>
      <c r="AB8" s="140">
        <f t="shared" si="6"/>
        <v>2.7562344706003319E-3</v>
      </c>
      <c r="AC8" s="140">
        <f t="shared" si="7"/>
        <v>4.6060361634733546E-3</v>
      </c>
      <c r="AD8" s="165">
        <v>5042</v>
      </c>
      <c r="AE8" s="165" t="s">
        <v>1001</v>
      </c>
      <c r="AF8" s="165">
        <v>0</v>
      </c>
      <c r="AG8" s="165">
        <v>5042</v>
      </c>
      <c r="AH8" s="140">
        <f t="shared" si="8"/>
        <v>1</v>
      </c>
      <c r="AI8" s="140">
        <f t="shared" si="9"/>
        <v>0</v>
      </c>
      <c r="AJ8" s="78">
        <f t="shared" si="10"/>
        <v>722314.5</v>
      </c>
      <c r="AK8" s="123">
        <f t="shared" si="11"/>
        <v>2.9499615472207745E-2</v>
      </c>
      <c r="AL8" s="123">
        <f t="shared" si="12"/>
        <v>5.4444428292661988E-2</v>
      </c>
      <c r="AM8" s="310">
        <f t="shared" si="13"/>
        <v>8.3944043764869733E-2</v>
      </c>
    </row>
    <row r="9" spans="1:39">
      <c r="A9" s="9">
        <v>7</v>
      </c>
      <c r="B9" s="1" t="s">
        <v>342</v>
      </c>
      <c r="C9" s="1" t="s">
        <v>343</v>
      </c>
      <c r="D9" s="1">
        <v>0</v>
      </c>
      <c r="E9" s="65" t="s">
        <v>1000</v>
      </c>
      <c r="F9" s="76"/>
      <c r="I9">
        <v>0</v>
      </c>
      <c r="J9" s="140">
        <f t="shared" si="0"/>
        <v>0</v>
      </c>
      <c r="K9" s="140">
        <f t="shared" si="1"/>
        <v>0</v>
      </c>
      <c r="L9" s="165">
        <v>10389</v>
      </c>
      <c r="M9" s="165">
        <v>12076</v>
      </c>
      <c r="N9" s="165">
        <v>16655</v>
      </c>
      <c r="O9" s="165">
        <v>39120</v>
      </c>
      <c r="P9" s="140">
        <f t="shared" si="2"/>
        <v>0.26556748466257668</v>
      </c>
      <c r="Q9" s="140">
        <f t="shared" si="3"/>
        <v>0.30869120654396726</v>
      </c>
      <c r="R9" s="165">
        <v>6223.5</v>
      </c>
      <c r="S9" s="165">
        <v>7026</v>
      </c>
      <c r="T9" s="165">
        <v>8825</v>
      </c>
      <c r="U9" s="165">
        <v>22074.5</v>
      </c>
      <c r="V9" s="140">
        <f t="shared" si="4"/>
        <v>0.28193164058076059</v>
      </c>
      <c r="W9" s="140">
        <f t="shared" si="5"/>
        <v>0.31828580488799291</v>
      </c>
      <c r="X9" s="165">
        <v>1699.5</v>
      </c>
      <c r="Y9" s="165">
        <v>15093</v>
      </c>
      <c r="Z9" s="165">
        <v>30072.5</v>
      </c>
      <c r="AA9" s="165">
        <v>46865</v>
      </c>
      <c r="AB9" s="140">
        <f t="shared" si="6"/>
        <v>3.6263736263736267E-2</v>
      </c>
      <c r="AC9" s="140">
        <f t="shared" si="7"/>
        <v>0.32205270457697643</v>
      </c>
      <c r="AD9" s="165">
        <v>1409</v>
      </c>
      <c r="AE9" s="165" t="s">
        <v>1001</v>
      </c>
      <c r="AF9" s="165">
        <v>9</v>
      </c>
      <c r="AG9" s="165">
        <v>1418</v>
      </c>
      <c r="AH9" s="140">
        <f t="shared" si="8"/>
        <v>0.99365303244005643</v>
      </c>
      <c r="AI9" s="140">
        <f t="shared" si="9"/>
        <v>0</v>
      </c>
      <c r="AJ9" s="78">
        <f t="shared" si="10"/>
        <v>109477.5</v>
      </c>
      <c r="AK9" s="123">
        <f t="shared" si="11"/>
        <v>0.18013747116987508</v>
      </c>
      <c r="AL9" s="123">
        <f t="shared" si="12"/>
        <v>0.3123472859720034</v>
      </c>
      <c r="AM9" s="310">
        <f t="shared" si="13"/>
        <v>0.49248475714187845</v>
      </c>
    </row>
    <row r="10" spans="1:39">
      <c r="A10" s="9">
        <v>8</v>
      </c>
      <c r="B10" s="1" t="s">
        <v>348</v>
      </c>
      <c r="C10" s="1" t="s">
        <v>349</v>
      </c>
      <c r="D10" s="1">
        <v>0</v>
      </c>
      <c r="E10" s="65" t="s">
        <v>1000</v>
      </c>
      <c r="F10" s="76"/>
      <c r="I10">
        <v>0</v>
      </c>
      <c r="J10" s="140">
        <f t="shared" si="0"/>
        <v>0</v>
      </c>
      <c r="K10" s="140">
        <f t="shared" si="1"/>
        <v>0</v>
      </c>
      <c r="L10" s="165">
        <v>1658.5</v>
      </c>
      <c r="M10" s="165">
        <v>2065</v>
      </c>
      <c r="N10" s="165">
        <v>34450</v>
      </c>
      <c r="O10" s="165">
        <v>38173.5</v>
      </c>
      <c r="P10" s="140">
        <f t="shared" si="2"/>
        <v>4.344636986391083E-2</v>
      </c>
      <c r="Q10" s="140">
        <f t="shared" si="3"/>
        <v>5.4095118341257679E-2</v>
      </c>
      <c r="R10" s="165">
        <v>622</v>
      </c>
      <c r="S10" s="165">
        <v>551</v>
      </c>
      <c r="T10" s="165">
        <v>112</v>
      </c>
      <c r="U10" s="165">
        <v>1285</v>
      </c>
      <c r="V10" s="140">
        <f t="shared" si="4"/>
        <v>0.48404669260700389</v>
      </c>
      <c r="W10" s="140">
        <f t="shared" si="5"/>
        <v>0.42879377431906612</v>
      </c>
      <c r="X10" s="165">
        <v>0</v>
      </c>
      <c r="Y10" s="165">
        <v>1600</v>
      </c>
      <c r="Z10" s="165">
        <v>9975</v>
      </c>
      <c r="AA10" s="165">
        <v>11575</v>
      </c>
      <c r="AB10" s="140">
        <f t="shared" si="6"/>
        <v>0</v>
      </c>
      <c r="AC10" s="140">
        <f t="shared" si="7"/>
        <v>0.13822894168466524</v>
      </c>
      <c r="AD10" s="165">
        <v>416824</v>
      </c>
      <c r="AE10" s="165">
        <v>372035</v>
      </c>
      <c r="AF10" s="165">
        <v>159115</v>
      </c>
      <c r="AG10" s="165">
        <v>947974</v>
      </c>
      <c r="AH10" s="140">
        <f t="shared" si="8"/>
        <v>0.43969982299092591</v>
      </c>
      <c r="AI10" s="140">
        <f t="shared" si="9"/>
        <v>0.39245274659431589</v>
      </c>
      <c r="AJ10" s="78">
        <f t="shared" si="10"/>
        <v>999007.5</v>
      </c>
      <c r="AK10" s="123">
        <f t="shared" si="11"/>
        <v>0.41952087446790942</v>
      </c>
      <c r="AL10" s="123">
        <f t="shared" si="12"/>
        <v>0.37662480011411326</v>
      </c>
      <c r="AM10" s="310">
        <f t="shared" si="13"/>
        <v>0.79614567458202268</v>
      </c>
    </row>
    <row r="11" spans="1:39">
      <c r="A11" s="9">
        <v>9</v>
      </c>
      <c r="B11" s="1" t="s">
        <v>353</v>
      </c>
      <c r="C11" s="1" t="s">
        <v>354</v>
      </c>
      <c r="D11" s="1">
        <v>0</v>
      </c>
      <c r="E11" s="65" t="s">
        <v>1000</v>
      </c>
      <c r="F11" s="76"/>
      <c r="I11">
        <v>0</v>
      </c>
      <c r="J11" s="140">
        <f t="shared" si="0"/>
        <v>0</v>
      </c>
      <c r="K11" s="140">
        <f t="shared" si="1"/>
        <v>0</v>
      </c>
      <c r="L11" s="165">
        <v>14846</v>
      </c>
      <c r="M11" s="165">
        <v>54634</v>
      </c>
      <c r="N11" s="165">
        <v>638962.5</v>
      </c>
      <c r="O11" s="165">
        <v>708442.5</v>
      </c>
      <c r="P11" s="140">
        <f t="shared" si="2"/>
        <v>2.0955829160447036E-2</v>
      </c>
      <c r="Q11" s="140">
        <f t="shared" si="3"/>
        <v>7.7118467624401416E-2</v>
      </c>
      <c r="R11" s="165">
        <v>84365</v>
      </c>
      <c r="S11" s="165">
        <v>140070</v>
      </c>
      <c r="T11" s="165">
        <v>220803</v>
      </c>
      <c r="U11" s="165">
        <v>445238</v>
      </c>
      <c r="V11" s="140">
        <f t="shared" si="4"/>
        <v>0.18948292823164239</v>
      </c>
      <c r="W11" s="140">
        <f t="shared" si="5"/>
        <v>0.31459578921835063</v>
      </c>
      <c r="X11" s="165">
        <v>1164</v>
      </c>
      <c r="Y11" s="165">
        <v>1642</v>
      </c>
      <c r="Z11" s="165">
        <v>74793.5</v>
      </c>
      <c r="AA11" s="165">
        <v>77599.5</v>
      </c>
      <c r="AB11" s="140">
        <f t="shared" si="6"/>
        <v>1.5000096650107281E-2</v>
      </c>
      <c r="AC11" s="140">
        <f t="shared" si="7"/>
        <v>2.1159930154189138E-2</v>
      </c>
      <c r="AD11" s="165">
        <v>61533</v>
      </c>
      <c r="AE11" s="165">
        <v>185405</v>
      </c>
      <c r="AF11" s="165">
        <v>84207</v>
      </c>
      <c r="AG11" s="165">
        <v>331145</v>
      </c>
      <c r="AH11" s="140">
        <f t="shared" si="8"/>
        <v>0.18581890108562715</v>
      </c>
      <c r="AI11" s="140">
        <f t="shared" si="9"/>
        <v>0.55989068232949313</v>
      </c>
      <c r="AJ11" s="78">
        <f t="shared" si="10"/>
        <v>1562425</v>
      </c>
      <c r="AK11" s="123">
        <f t="shared" si="11"/>
        <v>0.10362609405251452</v>
      </c>
      <c r="AL11" s="123">
        <f t="shared" si="12"/>
        <v>0.24433236795366178</v>
      </c>
      <c r="AM11" s="310">
        <f t="shared" si="13"/>
        <v>0.34795846200617631</v>
      </c>
    </row>
    <row r="12" spans="1:39">
      <c r="A12" s="9">
        <v>10</v>
      </c>
      <c r="B12" s="1" t="s">
        <v>358</v>
      </c>
      <c r="C12" s="1" t="s">
        <v>359</v>
      </c>
      <c r="D12" s="1">
        <v>0</v>
      </c>
      <c r="E12" s="65" t="s">
        <v>1000</v>
      </c>
      <c r="F12" s="76"/>
      <c r="I12">
        <v>0</v>
      </c>
      <c r="J12" s="140">
        <f t="shared" si="0"/>
        <v>0</v>
      </c>
      <c r="K12" s="140">
        <f t="shared" si="1"/>
        <v>0</v>
      </c>
      <c r="L12" s="165">
        <v>12388</v>
      </c>
      <c r="M12" s="165">
        <v>14936</v>
      </c>
      <c r="N12" s="165">
        <v>268628</v>
      </c>
      <c r="O12" s="165">
        <v>295952</v>
      </c>
      <c r="P12" s="140">
        <f t="shared" si="2"/>
        <v>4.185813915770125E-2</v>
      </c>
      <c r="Q12" s="140">
        <f t="shared" si="3"/>
        <v>5.0467643401632699E-2</v>
      </c>
      <c r="R12" s="165">
        <v>40592.5</v>
      </c>
      <c r="S12" s="165">
        <v>90030</v>
      </c>
      <c r="T12" s="165">
        <v>118588</v>
      </c>
      <c r="U12" s="165">
        <v>249210.5</v>
      </c>
      <c r="V12" s="140">
        <f t="shared" si="4"/>
        <v>0.16288438890014667</v>
      </c>
      <c r="W12" s="140">
        <f t="shared" si="5"/>
        <v>0.36126086180156936</v>
      </c>
      <c r="X12" s="165">
        <v>4293</v>
      </c>
      <c r="Y12" s="165">
        <v>10392</v>
      </c>
      <c r="Z12" s="165">
        <v>192550.5</v>
      </c>
      <c r="AA12" s="165">
        <v>207235.5</v>
      </c>
      <c r="AB12" s="140">
        <f t="shared" si="6"/>
        <v>2.0715562729358629E-2</v>
      </c>
      <c r="AC12" s="140">
        <f t="shared" si="7"/>
        <v>5.0145848563590695E-2</v>
      </c>
      <c r="AD12" s="165">
        <v>1567786.5</v>
      </c>
      <c r="AE12" s="165">
        <v>2652877</v>
      </c>
      <c r="AF12" s="165">
        <v>503455</v>
      </c>
      <c r="AG12" s="165">
        <v>4724118.5</v>
      </c>
      <c r="AH12" s="140">
        <f t="shared" si="8"/>
        <v>0.33186858034996369</v>
      </c>
      <c r="AI12" s="140">
        <f t="shared" si="9"/>
        <v>0.56156021488453345</v>
      </c>
      <c r="AJ12" s="78">
        <f t="shared" si="10"/>
        <v>5476516.5</v>
      </c>
      <c r="AK12" s="123">
        <f t="shared" si="11"/>
        <v>0.29673242105634118</v>
      </c>
      <c r="AL12" s="123">
        <f t="shared" si="12"/>
        <v>0.50547368934248627</v>
      </c>
      <c r="AM12" s="310">
        <f t="shared" si="13"/>
        <v>0.80220611039882739</v>
      </c>
    </row>
    <row r="13" spans="1:39">
      <c r="A13" s="9">
        <v>11</v>
      </c>
      <c r="B13" s="1" t="s">
        <v>363</v>
      </c>
      <c r="C13" s="1" t="s">
        <v>364</v>
      </c>
      <c r="D13" s="1">
        <v>1</v>
      </c>
      <c r="E13" s="65" t="s">
        <v>1000</v>
      </c>
      <c r="F13" s="76"/>
      <c r="I13">
        <v>0</v>
      </c>
      <c r="J13" s="140">
        <f t="shared" si="0"/>
        <v>0</v>
      </c>
      <c r="K13" s="140">
        <f t="shared" si="1"/>
        <v>0</v>
      </c>
      <c r="L13" s="165">
        <v>13659</v>
      </c>
      <c r="M13" s="165">
        <v>15499</v>
      </c>
      <c r="N13" s="165">
        <v>34091</v>
      </c>
      <c r="O13" s="165">
        <v>63249</v>
      </c>
      <c r="P13" s="140">
        <f t="shared" si="2"/>
        <v>0.21595598349381018</v>
      </c>
      <c r="Q13" s="140">
        <f t="shared" si="3"/>
        <v>0.24504735252731269</v>
      </c>
      <c r="R13" s="165">
        <v>30324</v>
      </c>
      <c r="S13" s="165">
        <v>12083</v>
      </c>
      <c r="T13" s="165">
        <v>15487</v>
      </c>
      <c r="U13" s="165">
        <v>57894</v>
      </c>
      <c r="V13" s="140">
        <f t="shared" si="4"/>
        <v>0.52378484817079485</v>
      </c>
      <c r="W13" s="140">
        <f t="shared" si="5"/>
        <v>0.20870901993298097</v>
      </c>
      <c r="X13" s="165">
        <v>79</v>
      </c>
      <c r="Y13" s="165" t="s">
        <v>1002</v>
      </c>
      <c r="Z13" s="165">
        <v>0</v>
      </c>
      <c r="AA13" s="165">
        <v>79</v>
      </c>
      <c r="AB13" s="140">
        <f t="shared" si="6"/>
        <v>1</v>
      </c>
      <c r="AC13" s="140">
        <f t="shared" si="7"/>
        <v>0</v>
      </c>
      <c r="AD13" s="165">
        <v>871</v>
      </c>
      <c r="AE13" s="165" t="s">
        <v>1001</v>
      </c>
      <c r="AF13" s="165">
        <v>0</v>
      </c>
      <c r="AG13" s="165">
        <v>871</v>
      </c>
      <c r="AH13" s="140">
        <f t="shared" si="8"/>
        <v>1</v>
      </c>
      <c r="AI13" s="140">
        <f t="shared" si="9"/>
        <v>0</v>
      </c>
      <c r="AJ13" s="78">
        <f t="shared" si="10"/>
        <v>122093</v>
      </c>
      <c r="AK13" s="123">
        <f t="shared" si="11"/>
        <v>0.36802273676623559</v>
      </c>
      <c r="AL13" s="123">
        <f t="shared" si="12"/>
        <v>0.22590975731614424</v>
      </c>
      <c r="AM13" s="310">
        <f t="shared" si="13"/>
        <v>0.5939324940823798</v>
      </c>
    </row>
    <row r="14" spans="1:39">
      <c r="A14" s="9">
        <v>12</v>
      </c>
      <c r="B14" s="1" t="s">
        <v>368</v>
      </c>
      <c r="C14" s="1" t="s">
        <v>278</v>
      </c>
      <c r="D14" s="1">
        <v>0</v>
      </c>
      <c r="E14" s="65" t="s">
        <v>1000</v>
      </c>
      <c r="F14" s="76"/>
      <c r="I14">
        <v>0</v>
      </c>
      <c r="J14" s="140">
        <f t="shared" si="0"/>
        <v>0</v>
      </c>
      <c r="K14" s="140">
        <f t="shared" si="1"/>
        <v>0</v>
      </c>
      <c r="L14" s="165">
        <v>9077</v>
      </c>
      <c r="M14" s="165">
        <v>52995</v>
      </c>
      <c r="N14" s="165">
        <v>626740.5</v>
      </c>
      <c r="O14" s="165">
        <v>688812.5</v>
      </c>
      <c r="P14" s="140">
        <f t="shared" si="2"/>
        <v>1.3177751565193721E-2</v>
      </c>
      <c r="Q14" s="140">
        <f t="shared" si="3"/>
        <v>7.693675710008166E-2</v>
      </c>
      <c r="R14" s="165">
        <v>4926</v>
      </c>
      <c r="S14" s="165" t="s">
        <v>1001</v>
      </c>
      <c r="T14" s="165">
        <v>0</v>
      </c>
      <c r="U14" s="165">
        <v>4926</v>
      </c>
      <c r="V14" s="140">
        <f t="shared" si="4"/>
        <v>1</v>
      </c>
      <c r="W14" s="140">
        <f t="shared" si="5"/>
        <v>0</v>
      </c>
      <c r="X14" s="165">
        <v>2261.5</v>
      </c>
      <c r="Y14" s="165">
        <v>16771</v>
      </c>
      <c r="Z14" s="165">
        <v>1726113</v>
      </c>
      <c r="AA14" s="165">
        <v>1745145.5</v>
      </c>
      <c r="AB14" s="140">
        <f t="shared" si="6"/>
        <v>1.2958804867559753E-3</v>
      </c>
      <c r="AC14" s="140">
        <f t="shared" si="7"/>
        <v>9.6100869526351811E-3</v>
      </c>
      <c r="AD14" s="165">
        <v>1982</v>
      </c>
      <c r="AE14" s="165" t="s">
        <v>1001</v>
      </c>
      <c r="AF14" s="165">
        <v>0</v>
      </c>
      <c r="AG14" s="165">
        <v>1982</v>
      </c>
      <c r="AH14" s="140">
        <f t="shared" si="8"/>
        <v>1</v>
      </c>
      <c r="AI14" s="140">
        <f t="shared" si="9"/>
        <v>0</v>
      </c>
      <c r="AJ14" s="78">
        <f t="shared" si="10"/>
        <v>2440866</v>
      </c>
      <c r="AK14" s="123">
        <f t="shared" si="11"/>
        <v>7.475420608915033E-3</v>
      </c>
      <c r="AL14" s="123">
        <f t="shared" si="12"/>
        <v>2.858247851377339E-2</v>
      </c>
      <c r="AM14" s="310">
        <f t="shared" si="13"/>
        <v>3.6057899122688419E-2</v>
      </c>
    </row>
    <row r="15" spans="1:39">
      <c r="A15" s="9">
        <v>13</v>
      </c>
      <c r="B15" s="1" t="s">
        <v>372</v>
      </c>
      <c r="C15" s="1" t="s">
        <v>373</v>
      </c>
      <c r="D15" s="1">
        <v>0</v>
      </c>
      <c r="E15" s="65" t="s">
        <v>1000</v>
      </c>
      <c r="F15" s="76"/>
      <c r="I15">
        <v>0</v>
      </c>
      <c r="J15" s="140">
        <f t="shared" si="0"/>
        <v>0</v>
      </c>
      <c r="K15" s="140">
        <f t="shared" si="1"/>
        <v>0</v>
      </c>
      <c r="L15" s="165">
        <v>9423.5</v>
      </c>
      <c r="M15" s="165">
        <v>16649</v>
      </c>
      <c r="N15" s="165">
        <v>53572.5</v>
      </c>
      <c r="O15" s="165">
        <v>79645</v>
      </c>
      <c r="P15" s="140">
        <f t="shared" si="2"/>
        <v>0.1183187896289786</v>
      </c>
      <c r="Q15" s="140">
        <f t="shared" si="3"/>
        <v>0.20904011551258711</v>
      </c>
      <c r="R15" s="165">
        <v>7708.5</v>
      </c>
      <c r="S15" s="165">
        <v>3036</v>
      </c>
      <c r="T15" s="165">
        <v>12357</v>
      </c>
      <c r="U15" s="165">
        <v>23101.5</v>
      </c>
      <c r="V15" s="140">
        <f t="shared" si="4"/>
        <v>0.33367963119277971</v>
      </c>
      <c r="W15" s="140">
        <f t="shared" si="5"/>
        <v>0.13142003765989221</v>
      </c>
      <c r="X15" s="165">
        <v>5392.5</v>
      </c>
      <c r="Y15" s="165">
        <v>47685</v>
      </c>
      <c r="Z15" s="165">
        <v>142405.5</v>
      </c>
      <c r="AA15" s="165">
        <v>195483</v>
      </c>
      <c r="AB15" s="140">
        <f t="shared" si="6"/>
        <v>2.758551894538144E-2</v>
      </c>
      <c r="AC15" s="140">
        <f t="shared" si="7"/>
        <v>0.24393425515262196</v>
      </c>
      <c r="AD15" s="165">
        <v>24918</v>
      </c>
      <c r="AE15" s="165">
        <v>52272</v>
      </c>
      <c r="AF15" s="165">
        <v>93189</v>
      </c>
      <c r="AG15" s="165">
        <v>170379</v>
      </c>
      <c r="AH15" s="140">
        <f t="shared" si="8"/>
        <v>0.14625041818533974</v>
      </c>
      <c r="AI15" s="140">
        <f t="shared" si="9"/>
        <v>0.30679837303893087</v>
      </c>
      <c r="AJ15" s="78">
        <f t="shared" si="10"/>
        <v>468608.5</v>
      </c>
      <c r="AK15" s="123">
        <f t="shared" si="11"/>
        <v>0.10124122801869791</v>
      </c>
      <c r="AL15" s="123">
        <f t="shared" si="12"/>
        <v>0.25531333725273869</v>
      </c>
      <c r="AM15" s="310">
        <f t="shared" si="13"/>
        <v>0.35655456527143659</v>
      </c>
    </row>
    <row r="16" spans="1:39">
      <c r="A16" s="9">
        <v>14</v>
      </c>
      <c r="B16" s="1" t="s">
        <v>378</v>
      </c>
      <c r="C16" s="1" t="s">
        <v>379</v>
      </c>
      <c r="D16" s="1">
        <v>1</v>
      </c>
      <c r="E16" s="65" t="s">
        <v>1000</v>
      </c>
      <c r="F16" s="76"/>
      <c r="I16">
        <v>0</v>
      </c>
      <c r="J16" s="140">
        <f t="shared" si="0"/>
        <v>0</v>
      </c>
      <c r="K16" s="140">
        <f t="shared" si="1"/>
        <v>0</v>
      </c>
      <c r="L16" s="165">
        <v>9315.5</v>
      </c>
      <c r="M16" s="165">
        <v>11576</v>
      </c>
      <c r="N16" s="165">
        <v>77541</v>
      </c>
      <c r="O16" s="165">
        <v>98432.5</v>
      </c>
      <c r="P16" s="140">
        <f t="shared" si="2"/>
        <v>9.4638457826429281E-2</v>
      </c>
      <c r="Q16" s="140">
        <f t="shared" si="3"/>
        <v>0.11760343382521017</v>
      </c>
      <c r="R16" s="165">
        <v>6849</v>
      </c>
      <c r="S16" s="165">
        <v>4645</v>
      </c>
      <c r="T16" s="165">
        <v>3166</v>
      </c>
      <c r="U16" s="165">
        <v>14660</v>
      </c>
      <c r="V16" s="140">
        <f t="shared" si="4"/>
        <v>0.46718963165075034</v>
      </c>
      <c r="W16" s="140">
        <f t="shared" si="5"/>
        <v>0.31684856753069579</v>
      </c>
      <c r="X16" s="165">
        <v>32244.5</v>
      </c>
      <c r="Y16" s="165">
        <v>63717</v>
      </c>
      <c r="Z16" s="165">
        <v>346201.5</v>
      </c>
      <c r="AA16" s="165">
        <v>442163</v>
      </c>
      <c r="AB16" s="140">
        <f t="shared" si="6"/>
        <v>7.2924464507432785E-2</v>
      </c>
      <c r="AC16" s="140">
        <f t="shared" si="7"/>
        <v>0.14410296655305849</v>
      </c>
      <c r="AD16" s="165">
        <v>398622.5</v>
      </c>
      <c r="AE16" s="165">
        <v>433988</v>
      </c>
      <c r="AF16" s="165">
        <v>352933.5</v>
      </c>
      <c r="AG16" s="165">
        <v>1185544</v>
      </c>
      <c r="AH16" s="140">
        <f t="shared" si="8"/>
        <v>0.33623593894448456</v>
      </c>
      <c r="AI16" s="140">
        <f t="shared" si="9"/>
        <v>0.36606654835248631</v>
      </c>
      <c r="AJ16" s="78">
        <f t="shared" si="10"/>
        <v>1740799.5</v>
      </c>
      <c r="AK16" s="123">
        <f t="shared" si="11"/>
        <v>0.25679666153396757</v>
      </c>
      <c r="AL16" s="123">
        <f t="shared" si="12"/>
        <v>0.29522411972200135</v>
      </c>
      <c r="AM16" s="310">
        <f t="shared" si="13"/>
        <v>0.55202078125596898</v>
      </c>
    </row>
    <row r="17" spans="1:39">
      <c r="A17" s="9">
        <v>15</v>
      </c>
      <c r="B17" s="1" t="s">
        <v>383</v>
      </c>
      <c r="C17" s="1" t="s">
        <v>384</v>
      </c>
      <c r="D17" s="1">
        <v>0</v>
      </c>
      <c r="E17" s="65" t="s">
        <v>1000</v>
      </c>
      <c r="F17" s="76"/>
      <c r="I17">
        <v>0</v>
      </c>
      <c r="J17" s="140">
        <f t="shared" si="0"/>
        <v>0</v>
      </c>
      <c r="K17" s="140">
        <f t="shared" si="1"/>
        <v>0</v>
      </c>
      <c r="L17" s="165">
        <v>6204</v>
      </c>
      <c r="M17" s="165">
        <v>7631</v>
      </c>
      <c r="N17" s="165">
        <v>3582</v>
      </c>
      <c r="O17" s="165">
        <v>17417</v>
      </c>
      <c r="P17" s="140">
        <f t="shared" si="2"/>
        <v>0.35620370901992304</v>
      </c>
      <c r="Q17" s="140">
        <f t="shared" si="3"/>
        <v>0.43813515530803238</v>
      </c>
      <c r="R17" s="165">
        <v>7784.5</v>
      </c>
      <c r="S17" s="165">
        <v>4540</v>
      </c>
      <c r="T17" s="165">
        <v>3175</v>
      </c>
      <c r="U17" s="165">
        <v>15499.5</v>
      </c>
      <c r="V17" s="140">
        <f t="shared" si="4"/>
        <v>0.50224200780670347</v>
      </c>
      <c r="W17" s="140">
        <f t="shared" si="5"/>
        <v>0.29291267460240655</v>
      </c>
      <c r="X17" s="165">
        <v>8844.5</v>
      </c>
      <c r="Y17" s="165">
        <v>98092</v>
      </c>
      <c r="Z17" s="165">
        <v>515843</v>
      </c>
      <c r="AA17" s="165">
        <v>622779.5</v>
      </c>
      <c r="AB17" s="140">
        <f t="shared" si="6"/>
        <v>1.4201655642165486E-2</v>
      </c>
      <c r="AC17" s="140">
        <f t="shared" si="7"/>
        <v>0.15750679012395238</v>
      </c>
      <c r="AD17" s="165">
        <v>53204</v>
      </c>
      <c r="AE17" s="165">
        <v>139455</v>
      </c>
      <c r="AF17" s="165">
        <v>509356</v>
      </c>
      <c r="AG17" s="165">
        <v>702015</v>
      </c>
      <c r="AH17" s="140">
        <f t="shared" si="8"/>
        <v>7.5787554396985826E-2</v>
      </c>
      <c r="AI17" s="140">
        <f t="shared" si="9"/>
        <v>0.19864960150424135</v>
      </c>
      <c r="AJ17" s="78">
        <f t="shared" si="10"/>
        <v>1357711</v>
      </c>
      <c r="AK17" s="123">
        <f t="shared" si="11"/>
        <v>5.6003818191058333E-2</v>
      </c>
      <c r="AL17" s="123">
        <f t="shared" si="12"/>
        <v>0.18392573971927753</v>
      </c>
      <c r="AM17" s="310">
        <f t="shared" si="13"/>
        <v>0.23992955791033588</v>
      </c>
    </row>
    <row r="18" spans="1:39">
      <c r="A18" s="9">
        <v>16</v>
      </c>
      <c r="B18" s="1" t="s">
        <v>388</v>
      </c>
      <c r="C18" s="1" t="s">
        <v>389</v>
      </c>
      <c r="D18" s="1">
        <v>0</v>
      </c>
      <c r="E18" s="65" t="s">
        <v>1000</v>
      </c>
      <c r="F18" s="76"/>
      <c r="I18">
        <v>0</v>
      </c>
      <c r="J18" s="140">
        <f t="shared" si="0"/>
        <v>0</v>
      </c>
      <c r="K18" s="140">
        <f t="shared" si="1"/>
        <v>0</v>
      </c>
      <c r="L18" s="165">
        <v>6493</v>
      </c>
      <c r="M18" s="165">
        <v>355</v>
      </c>
      <c r="N18" s="165">
        <v>6662</v>
      </c>
      <c r="O18" s="165">
        <v>13510</v>
      </c>
      <c r="P18" s="140">
        <f t="shared" si="2"/>
        <v>0.48060695780903034</v>
      </c>
      <c r="Q18" s="140">
        <f t="shared" si="3"/>
        <v>2.6276831976313843E-2</v>
      </c>
      <c r="R18" s="165">
        <v>3568.5</v>
      </c>
      <c r="S18" s="165" t="s">
        <v>1001</v>
      </c>
      <c r="T18" s="165">
        <v>0</v>
      </c>
      <c r="U18" s="165">
        <v>3568.5</v>
      </c>
      <c r="V18" s="140">
        <f t="shared" si="4"/>
        <v>1</v>
      </c>
      <c r="W18" s="140">
        <f t="shared" si="5"/>
        <v>0</v>
      </c>
      <c r="X18" s="165">
        <v>2396.5</v>
      </c>
      <c r="Y18" s="165">
        <v>16384</v>
      </c>
      <c r="Z18" s="165">
        <v>386676.5</v>
      </c>
      <c r="AA18" s="165">
        <v>405457</v>
      </c>
      <c r="AB18" s="140">
        <f t="shared" si="6"/>
        <v>5.9106144424686214E-3</v>
      </c>
      <c r="AC18" s="140">
        <f t="shared" si="7"/>
        <v>4.0408723983061091E-2</v>
      </c>
      <c r="AD18" s="165">
        <v>8735.5</v>
      </c>
      <c r="AE18" s="165">
        <v>21070</v>
      </c>
      <c r="AF18" s="165">
        <v>0</v>
      </c>
      <c r="AG18" s="165">
        <v>29805.5</v>
      </c>
      <c r="AH18" s="140">
        <f t="shared" si="8"/>
        <v>0.29308349130194089</v>
      </c>
      <c r="AI18" s="140">
        <f t="shared" si="9"/>
        <v>0.70691650869805911</v>
      </c>
      <c r="AJ18" s="78">
        <f t="shared" si="10"/>
        <v>452341</v>
      </c>
      <c r="AK18" s="123">
        <f t="shared" si="11"/>
        <v>4.685292732695024E-2</v>
      </c>
      <c r="AL18" s="123">
        <f t="shared" si="12"/>
        <v>8.3585171364081529E-2</v>
      </c>
      <c r="AM18" s="310">
        <f t="shared" si="13"/>
        <v>0.13043809869103176</v>
      </c>
    </row>
    <row r="19" spans="1:39">
      <c r="A19" s="9">
        <v>17</v>
      </c>
      <c r="B19" s="1" t="s">
        <v>393</v>
      </c>
      <c r="C19" s="1" t="s">
        <v>394</v>
      </c>
      <c r="D19" s="1">
        <v>0</v>
      </c>
      <c r="E19" s="65" t="s">
        <v>1000</v>
      </c>
      <c r="F19" s="76"/>
      <c r="I19">
        <v>0</v>
      </c>
      <c r="J19" s="140">
        <f t="shared" si="0"/>
        <v>0</v>
      </c>
      <c r="K19" s="140">
        <f t="shared" si="1"/>
        <v>0</v>
      </c>
      <c r="L19" s="165">
        <v>18627.5</v>
      </c>
      <c r="M19" s="165">
        <v>5929</v>
      </c>
      <c r="N19" s="165">
        <v>9569</v>
      </c>
      <c r="O19" s="165">
        <v>34125.5</v>
      </c>
      <c r="P19" s="140">
        <f t="shared" si="2"/>
        <v>0.54585280801746494</v>
      </c>
      <c r="Q19" s="140">
        <f t="shared" si="3"/>
        <v>0.17374104408726612</v>
      </c>
      <c r="R19" s="165">
        <v>7727</v>
      </c>
      <c r="S19" s="165">
        <v>3427</v>
      </c>
      <c r="T19" s="165">
        <v>0</v>
      </c>
      <c r="U19" s="165">
        <v>11154</v>
      </c>
      <c r="V19" s="140">
        <f t="shared" si="4"/>
        <v>0.69275596198673117</v>
      </c>
      <c r="W19" s="140">
        <f t="shared" si="5"/>
        <v>0.30724403801326877</v>
      </c>
      <c r="X19" s="165">
        <v>11275</v>
      </c>
      <c r="Y19" s="165">
        <v>51686</v>
      </c>
      <c r="Z19" s="165">
        <v>75937.5</v>
      </c>
      <c r="AA19" s="165">
        <v>138898.5</v>
      </c>
      <c r="AB19" s="140">
        <f t="shared" si="6"/>
        <v>8.1174382732714892E-2</v>
      </c>
      <c r="AC19" s="140">
        <f t="shared" si="7"/>
        <v>0.37211344974927735</v>
      </c>
      <c r="AD19" s="165">
        <v>326529.5</v>
      </c>
      <c r="AE19" s="165">
        <v>558651</v>
      </c>
      <c r="AF19" s="165">
        <v>227772</v>
      </c>
      <c r="AG19" s="165">
        <v>1112952.5</v>
      </c>
      <c r="AH19" s="140">
        <f t="shared" si="8"/>
        <v>0.2933903288774678</v>
      </c>
      <c r="AI19" s="140">
        <f t="shared" si="9"/>
        <v>0.50195403667272409</v>
      </c>
      <c r="AJ19" s="78">
        <f t="shared" si="10"/>
        <v>1297130.5</v>
      </c>
      <c r="AK19" s="123">
        <f t="shared" si="11"/>
        <v>0.28074199165003061</v>
      </c>
      <c r="AL19" s="123">
        <f t="shared" si="12"/>
        <v>0.47774144544438668</v>
      </c>
      <c r="AM19" s="310">
        <f t="shared" si="13"/>
        <v>0.75848343709441735</v>
      </c>
    </row>
    <row r="20" spans="1:39">
      <c r="A20" s="9">
        <v>18</v>
      </c>
      <c r="B20" s="1" t="s">
        <v>398</v>
      </c>
      <c r="C20" s="1" t="s">
        <v>399</v>
      </c>
      <c r="D20" s="1">
        <v>0</v>
      </c>
      <c r="E20" s="65" t="s">
        <v>1000</v>
      </c>
      <c r="F20" s="75">
        <v>8774.5</v>
      </c>
      <c r="G20" s="165">
        <v>80770</v>
      </c>
      <c r="H20" s="165">
        <v>130891.5</v>
      </c>
      <c r="I20">
        <v>220436</v>
      </c>
      <c r="J20" s="140">
        <f t="shared" si="0"/>
        <v>3.9805204231613711E-2</v>
      </c>
      <c r="K20" s="140">
        <f t="shared" si="1"/>
        <v>0.3664102052296358</v>
      </c>
      <c r="L20" s="165">
        <v>7462.5</v>
      </c>
      <c r="M20" s="165">
        <v>3198</v>
      </c>
      <c r="N20" s="165">
        <v>5600</v>
      </c>
      <c r="O20" s="165">
        <v>16260.5</v>
      </c>
      <c r="P20" s="140">
        <f t="shared" si="2"/>
        <v>0.45893422711478737</v>
      </c>
      <c r="Q20" s="140">
        <f t="shared" si="3"/>
        <v>0.19667291903692999</v>
      </c>
      <c r="R20" s="165">
        <v>7786</v>
      </c>
      <c r="S20" s="165">
        <v>3839</v>
      </c>
      <c r="T20" s="165">
        <v>0</v>
      </c>
      <c r="U20" s="165">
        <v>11625</v>
      </c>
      <c r="V20" s="140">
        <f t="shared" si="4"/>
        <v>0.66976344086021511</v>
      </c>
      <c r="W20" s="140">
        <f t="shared" si="5"/>
        <v>0.33023655913978495</v>
      </c>
      <c r="X20" s="165">
        <v>0</v>
      </c>
      <c r="Y20" s="165">
        <v>6627</v>
      </c>
      <c r="Z20" s="165">
        <v>26869</v>
      </c>
      <c r="AA20" s="165">
        <v>33496</v>
      </c>
      <c r="AB20" s="140">
        <f t="shared" si="6"/>
        <v>0</v>
      </c>
      <c r="AC20" s="140">
        <f t="shared" si="7"/>
        <v>0.19784451874850728</v>
      </c>
      <c r="AD20" s="165">
        <v>195156.5</v>
      </c>
      <c r="AE20" s="165">
        <v>285052</v>
      </c>
      <c r="AF20" s="165">
        <v>55750.5</v>
      </c>
      <c r="AG20" s="165">
        <v>535959</v>
      </c>
      <c r="AH20" s="140">
        <f t="shared" si="8"/>
        <v>0.36412580066758837</v>
      </c>
      <c r="AI20" s="140">
        <f t="shared" si="9"/>
        <v>0.5318541157066119</v>
      </c>
      <c r="AJ20" s="78">
        <f t="shared" si="10"/>
        <v>817776.5</v>
      </c>
      <c r="AK20" s="123">
        <f t="shared" si="11"/>
        <v>0.26801882910550745</v>
      </c>
      <c r="AL20" s="123">
        <f t="shared" si="12"/>
        <v>0.46404610550682246</v>
      </c>
      <c r="AM20" s="310">
        <f t="shared" si="13"/>
        <v>0.73206493461232991</v>
      </c>
    </row>
    <row r="21" spans="1:39">
      <c r="A21" s="9">
        <v>19</v>
      </c>
      <c r="B21" s="1" t="s">
        <v>403</v>
      </c>
      <c r="C21" s="1" t="s">
        <v>404</v>
      </c>
      <c r="D21" s="1">
        <v>0</v>
      </c>
      <c r="E21" s="65" t="s">
        <v>1000</v>
      </c>
      <c r="F21" s="76"/>
      <c r="I21">
        <v>0</v>
      </c>
      <c r="J21" s="140">
        <f t="shared" si="0"/>
        <v>0</v>
      </c>
      <c r="K21" s="140">
        <f t="shared" si="1"/>
        <v>0</v>
      </c>
      <c r="L21" s="165">
        <v>11347</v>
      </c>
      <c r="M21" s="165">
        <v>19412</v>
      </c>
      <c r="N21" s="165">
        <v>113479.5</v>
      </c>
      <c r="O21" s="165">
        <v>144238.5</v>
      </c>
      <c r="P21" s="140">
        <f t="shared" si="2"/>
        <v>7.8668316711557593E-2</v>
      </c>
      <c r="Q21" s="140">
        <f t="shared" si="3"/>
        <v>0.13458265303646391</v>
      </c>
      <c r="R21" s="165">
        <v>16849.5</v>
      </c>
      <c r="S21" s="165">
        <v>12528</v>
      </c>
      <c r="T21" s="165">
        <v>12306</v>
      </c>
      <c r="U21" s="165">
        <v>41683.5</v>
      </c>
      <c r="V21" s="140">
        <f t="shared" si="4"/>
        <v>0.4042246932239375</v>
      </c>
      <c r="W21" s="140">
        <f t="shared" si="5"/>
        <v>0.30055057756666309</v>
      </c>
      <c r="X21" s="165">
        <v>2852.5</v>
      </c>
      <c r="Y21" s="165">
        <v>20102</v>
      </c>
      <c r="Z21" s="165">
        <v>48751.5</v>
      </c>
      <c r="AA21" s="165">
        <v>71706</v>
      </c>
      <c r="AB21" s="140">
        <f t="shared" si="6"/>
        <v>3.9780492566870274E-2</v>
      </c>
      <c r="AC21" s="140">
        <f t="shared" si="7"/>
        <v>0.28033916269210385</v>
      </c>
      <c r="AD21" s="165">
        <v>4366</v>
      </c>
      <c r="AE21" s="165">
        <v>2007</v>
      </c>
      <c r="AF21" s="165">
        <v>0</v>
      </c>
      <c r="AG21" s="165">
        <v>6373</v>
      </c>
      <c r="AH21" s="140">
        <f t="shared" si="8"/>
        <v>0.6850776714263298</v>
      </c>
      <c r="AI21" s="140">
        <f t="shared" si="9"/>
        <v>0.3149223285736702</v>
      </c>
      <c r="AJ21" s="78">
        <f t="shared" si="10"/>
        <v>264001</v>
      </c>
      <c r="AK21" s="123">
        <f t="shared" si="11"/>
        <v>0.13414721913932146</v>
      </c>
      <c r="AL21" s="123">
        <f t="shared" si="12"/>
        <v>0.20473028511255639</v>
      </c>
      <c r="AM21" s="310">
        <f t="shared" si="13"/>
        <v>0.33887750425187785</v>
      </c>
    </row>
    <row r="22" spans="1:39">
      <c r="A22" s="9">
        <v>20</v>
      </c>
      <c r="B22" s="1" t="s">
        <v>408</v>
      </c>
      <c r="C22" s="1" t="s">
        <v>409</v>
      </c>
      <c r="D22" s="1">
        <v>0</v>
      </c>
      <c r="E22" s="65" t="s">
        <v>1000</v>
      </c>
      <c r="F22" s="76"/>
      <c r="I22">
        <v>0</v>
      </c>
      <c r="J22" s="140">
        <f t="shared" si="0"/>
        <v>0</v>
      </c>
      <c r="K22" s="140">
        <f t="shared" si="1"/>
        <v>0</v>
      </c>
      <c r="L22" s="165">
        <v>9752</v>
      </c>
      <c r="M22" s="165">
        <v>16420</v>
      </c>
      <c r="N22" s="165">
        <v>55616</v>
      </c>
      <c r="O22" s="165">
        <v>81788</v>
      </c>
      <c r="P22" s="140">
        <f t="shared" si="2"/>
        <v>0.11923509561304838</v>
      </c>
      <c r="Q22" s="140">
        <f t="shared" si="3"/>
        <v>0.20076294810974715</v>
      </c>
      <c r="R22" s="165">
        <v>5414.5</v>
      </c>
      <c r="S22" s="165">
        <v>8145</v>
      </c>
      <c r="T22" s="165">
        <v>12012</v>
      </c>
      <c r="U22" s="165">
        <v>25571.5</v>
      </c>
      <c r="V22" s="140">
        <f t="shared" si="4"/>
        <v>0.21173963201220108</v>
      </c>
      <c r="W22" s="140">
        <f t="shared" si="5"/>
        <v>0.31851866335568896</v>
      </c>
      <c r="X22" s="165">
        <v>5331.5</v>
      </c>
      <c r="Y22" s="165">
        <v>45345</v>
      </c>
      <c r="Z22" s="165">
        <v>58293</v>
      </c>
      <c r="AA22" s="165">
        <v>108969.5</v>
      </c>
      <c r="AB22" s="140">
        <f t="shared" si="6"/>
        <v>4.892653448900839E-2</v>
      </c>
      <c r="AC22" s="140">
        <f t="shared" si="7"/>
        <v>0.41612561313027957</v>
      </c>
      <c r="AD22" s="165">
        <v>290355.5</v>
      </c>
      <c r="AE22" s="165">
        <v>559560</v>
      </c>
      <c r="AF22" s="165">
        <v>199500.5</v>
      </c>
      <c r="AG22" s="165">
        <v>1049416</v>
      </c>
      <c r="AH22" s="140">
        <f t="shared" si="8"/>
        <v>0.2766829360329936</v>
      </c>
      <c r="AI22" s="140">
        <f t="shared" si="9"/>
        <v>0.53321085251225442</v>
      </c>
      <c r="AJ22" s="78">
        <f t="shared" si="10"/>
        <v>1265745</v>
      </c>
      <c r="AK22" s="123">
        <f t="shared" si="11"/>
        <v>0.24558935646595484</v>
      </c>
      <c r="AL22" s="123">
        <f t="shared" si="12"/>
        <v>0.49731185981378556</v>
      </c>
      <c r="AM22" s="310">
        <f t="shared" si="13"/>
        <v>0.74290121627974037</v>
      </c>
    </row>
    <row r="23" spans="1:39">
      <c r="A23" s="9">
        <v>21</v>
      </c>
      <c r="B23" s="1" t="s">
        <v>413</v>
      </c>
      <c r="C23" s="1" t="s">
        <v>414</v>
      </c>
      <c r="D23" s="1">
        <v>1</v>
      </c>
      <c r="E23" s="65" t="s">
        <v>1000</v>
      </c>
      <c r="F23" s="76"/>
      <c r="I23">
        <v>0</v>
      </c>
      <c r="J23" s="140">
        <f t="shared" si="0"/>
        <v>0</v>
      </c>
      <c r="K23" s="140">
        <f t="shared" si="1"/>
        <v>0</v>
      </c>
      <c r="L23" s="165">
        <v>14423</v>
      </c>
      <c r="M23" s="165">
        <v>27766</v>
      </c>
      <c r="N23" s="165">
        <v>44189</v>
      </c>
      <c r="O23" s="165">
        <v>86378</v>
      </c>
      <c r="P23" s="140">
        <f t="shared" si="2"/>
        <v>0.16697538725138344</v>
      </c>
      <c r="Q23" s="140">
        <f t="shared" si="3"/>
        <v>0.32144759082173702</v>
      </c>
      <c r="R23" s="165">
        <v>20110</v>
      </c>
      <c r="S23" s="165">
        <v>31141</v>
      </c>
      <c r="T23" s="165">
        <v>26158</v>
      </c>
      <c r="U23" s="165">
        <v>77409</v>
      </c>
      <c r="V23" s="140">
        <f t="shared" si="4"/>
        <v>0.25978891343383842</v>
      </c>
      <c r="W23" s="140">
        <f t="shared" si="5"/>
        <v>0.40229172318464262</v>
      </c>
      <c r="X23" s="165">
        <v>2024</v>
      </c>
      <c r="Y23" s="165">
        <v>11931</v>
      </c>
      <c r="Z23" s="165">
        <v>29842</v>
      </c>
      <c r="AA23" s="165">
        <v>43797</v>
      </c>
      <c r="AB23" s="140">
        <f t="shared" si="6"/>
        <v>4.6213210950521728E-2</v>
      </c>
      <c r="AC23" s="140">
        <f t="shared" si="7"/>
        <v>0.27241591889855471</v>
      </c>
      <c r="AD23" s="165">
        <v>3294</v>
      </c>
      <c r="AE23" s="165">
        <v>1590</v>
      </c>
      <c r="AF23" s="165">
        <v>0</v>
      </c>
      <c r="AG23" s="165">
        <v>4884</v>
      </c>
      <c r="AH23" s="140">
        <f t="shared" si="8"/>
        <v>0.6744471744471745</v>
      </c>
      <c r="AI23" s="140">
        <f t="shared" si="9"/>
        <v>0.32555282555282555</v>
      </c>
      <c r="AJ23" s="78">
        <f t="shared" si="10"/>
        <v>212468</v>
      </c>
      <c r="AK23" s="123">
        <f t="shared" si="11"/>
        <v>0.18756236233221002</v>
      </c>
      <c r="AL23" s="123">
        <f t="shared" si="12"/>
        <v>0.3408889809288928</v>
      </c>
      <c r="AM23" s="310">
        <f t="shared" si="13"/>
        <v>0.52845134326110288</v>
      </c>
    </row>
    <row r="24" spans="1:39">
      <c r="A24" s="9">
        <v>22</v>
      </c>
      <c r="B24" s="1" t="s">
        <v>418</v>
      </c>
      <c r="C24" s="1" t="s">
        <v>419</v>
      </c>
      <c r="D24" s="1">
        <v>1</v>
      </c>
      <c r="E24" s="65" t="s">
        <v>1000</v>
      </c>
      <c r="F24" s="76"/>
      <c r="I24">
        <v>0</v>
      </c>
      <c r="J24" s="140">
        <f t="shared" si="0"/>
        <v>0</v>
      </c>
      <c r="K24" s="140">
        <f t="shared" si="1"/>
        <v>0</v>
      </c>
      <c r="L24" s="165">
        <v>22376</v>
      </c>
      <c r="M24" s="165">
        <v>29773</v>
      </c>
      <c r="N24" s="165">
        <v>277336.5</v>
      </c>
      <c r="O24" s="165">
        <v>329485.5</v>
      </c>
      <c r="P24" s="140">
        <f t="shared" si="2"/>
        <v>6.7911941496666767E-2</v>
      </c>
      <c r="Q24" s="140">
        <f t="shared" si="3"/>
        <v>9.0362094841806392E-2</v>
      </c>
      <c r="R24" s="165">
        <v>46620.5</v>
      </c>
      <c r="S24" s="165">
        <v>129354</v>
      </c>
      <c r="T24" s="165">
        <v>176657</v>
      </c>
      <c r="U24" s="165">
        <v>352631.5</v>
      </c>
      <c r="V24" s="140">
        <f t="shared" si="4"/>
        <v>0.1322074176583771</v>
      </c>
      <c r="W24" s="140">
        <f t="shared" si="5"/>
        <v>0.36682485824437122</v>
      </c>
      <c r="X24" s="165">
        <v>12345</v>
      </c>
      <c r="Y24" s="165">
        <v>88743</v>
      </c>
      <c r="Z24" s="165">
        <v>1104741.5</v>
      </c>
      <c r="AA24" s="165">
        <v>1205829.5</v>
      </c>
      <c r="AB24" s="140">
        <f t="shared" si="6"/>
        <v>1.0237765786954126E-2</v>
      </c>
      <c r="AC24" s="140">
        <f t="shared" si="7"/>
        <v>7.3594981711759419E-2</v>
      </c>
      <c r="AD24" s="165">
        <v>15372.5</v>
      </c>
      <c r="AE24" s="165">
        <v>41788</v>
      </c>
      <c r="AF24" s="165">
        <v>316947</v>
      </c>
      <c r="AG24" s="165">
        <v>374107.5</v>
      </c>
      <c r="AH24" s="140">
        <f t="shared" si="8"/>
        <v>4.1091130223264702E-2</v>
      </c>
      <c r="AI24" s="140">
        <f t="shared" si="9"/>
        <v>0.11170051388972421</v>
      </c>
      <c r="AJ24" s="78">
        <f t="shared" si="10"/>
        <v>2262054</v>
      </c>
      <c r="AK24" s="123">
        <f t="shared" si="11"/>
        <v>4.2754947494622143E-2</v>
      </c>
      <c r="AL24" s="123">
        <f t="shared" si="12"/>
        <v>0.12805087765367229</v>
      </c>
      <c r="AM24" s="310">
        <f t="shared" si="13"/>
        <v>0.17080582514829443</v>
      </c>
    </row>
    <row r="25" spans="1:39">
      <c r="A25" s="9">
        <v>23</v>
      </c>
      <c r="B25" s="1" t="s">
        <v>424</v>
      </c>
      <c r="C25" s="1" t="s">
        <v>425</v>
      </c>
      <c r="D25" s="1">
        <v>0</v>
      </c>
      <c r="E25" s="65" t="s">
        <v>1000</v>
      </c>
      <c r="F25" s="76"/>
      <c r="I25">
        <v>0</v>
      </c>
      <c r="J25" s="140">
        <f t="shared" si="0"/>
        <v>0</v>
      </c>
      <c r="K25" s="140">
        <f t="shared" si="1"/>
        <v>0</v>
      </c>
      <c r="L25" s="165">
        <v>24176.5</v>
      </c>
      <c r="M25" s="165">
        <v>42910</v>
      </c>
      <c r="N25" s="165">
        <v>147405.5</v>
      </c>
      <c r="O25" s="165">
        <v>214492</v>
      </c>
      <c r="P25" s="140">
        <f t="shared" si="2"/>
        <v>0.11271515953974974</v>
      </c>
      <c r="Q25" s="140">
        <f t="shared" si="3"/>
        <v>0.20005408127109636</v>
      </c>
      <c r="R25" s="165">
        <v>11957.5</v>
      </c>
      <c r="S25" s="165">
        <v>4388</v>
      </c>
      <c r="T25" s="165">
        <v>10999</v>
      </c>
      <c r="U25" s="165">
        <v>27344.5</v>
      </c>
      <c r="V25" s="140">
        <f t="shared" si="4"/>
        <v>0.43729086287918961</v>
      </c>
      <c r="W25" s="140">
        <f t="shared" si="5"/>
        <v>0.16047102708040009</v>
      </c>
      <c r="X25" s="165">
        <v>23645.5</v>
      </c>
      <c r="Y25" s="165">
        <v>278290</v>
      </c>
      <c r="Z25" s="165">
        <v>937652</v>
      </c>
      <c r="AA25" s="165">
        <v>1239587.5</v>
      </c>
      <c r="AB25" s="140">
        <f t="shared" si="6"/>
        <v>1.9075297225891678E-2</v>
      </c>
      <c r="AC25" s="140">
        <f t="shared" si="7"/>
        <v>0.22450210251394112</v>
      </c>
      <c r="AD25" s="165">
        <v>92672</v>
      </c>
      <c r="AE25" s="165">
        <v>189081</v>
      </c>
      <c r="AF25" s="165">
        <v>541434</v>
      </c>
      <c r="AG25" s="165">
        <v>823187</v>
      </c>
      <c r="AH25" s="140">
        <f t="shared" si="8"/>
        <v>0.11257709366158601</v>
      </c>
      <c r="AI25" s="140">
        <f t="shared" si="9"/>
        <v>0.22969386056874075</v>
      </c>
      <c r="AJ25" s="78">
        <f t="shared" si="10"/>
        <v>2304611</v>
      </c>
      <c r="AK25" s="123">
        <f t="shared" si="11"/>
        <v>6.6150643210502777E-2</v>
      </c>
      <c r="AL25" s="123">
        <f t="shared" si="12"/>
        <v>0.22332141953674611</v>
      </c>
      <c r="AM25" s="310">
        <f t="shared" si="13"/>
        <v>0.2894720627472489</v>
      </c>
    </row>
    <row r="26" spans="1:39">
      <c r="A26" s="9">
        <v>24</v>
      </c>
      <c r="B26" s="1" t="s">
        <v>429</v>
      </c>
      <c r="C26" s="1" t="s">
        <v>430</v>
      </c>
      <c r="D26" s="1">
        <v>0</v>
      </c>
      <c r="E26" s="65" t="s">
        <v>1000</v>
      </c>
      <c r="F26" s="76"/>
      <c r="G26" s="165">
        <v>11879</v>
      </c>
      <c r="H26" s="165">
        <v>48775</v>
      </c>
      <c r="I26">
        <v>60654</v>
      </c>
      <c r="J26" s="140">
        <f t="shared" si="0"/>
        <v>0</v>
      </c>
      <c r="K26" s="140">
        <f t="shared" si="1"/>
        <v>0.19584858377023776</v>
      </c>
      <c r="L26" s="165">
        <v>9665</v>
      </c>
      <c r="M26" s="165">
        <v>12781</v>
      </c>
      <c r="N26" s="165">
        <v>41096</v>
      </c>
      <c r="O26" s="165">
        <v>63542</v>
      </c>
      <c r="P26" s="140">
        <f t="shared" si="2"/>
        <v>0.15210412010953386</v>
      </c>
      <c r="Q26" s="140">
        <f t="shared" si="3"/>
        <v>0.201142551383337</v>
      </c>
      <c r="R26" s="165">
        <v>6726</v>
      </c>
      <c r="S26" s="165">
        <v>1177</v>
      </c>
      <c r="T26" s="165">
        <v>0</v>
      </c>
      <c r="U26" s="165">
        <v>7903</v>
      </c>
      <c r="V26" s="140">
        <f t="shared" si="4"/>
        <v>0.85106921422244719</v>
      </c>
      <c r="W26" s="140">
        <f t="shared" si="5"/>
        <v>0.14893078577755284</v>
      </c>
      <c r="X26" s="165">
        <v>1290</v>
      </c>
      <c r="Y26" s="165">
        <v>8245</v>
      </c>
      <c r="Z26" s="165">
        <v>18578</v>
      </c>
      <c r="AA26" s="165">
        <v>28113</v>
      </c>
      <c r="AB26" s="140">
        <f t="shared" si="6"/>
        <v>4.5886244797780383E-2</v>
      </c>
      <c r="AC26" s="140">
        <f t="shared" si="7"/>
        <v>0.29328068864937928</v>
      </c>
      <c r="AD26" s="165">
        <v>853485.5</v>
      </c>
      <c r="AE26" s="165">
        <v>1917122</v>
      </c>
      <c r="AF26" s="165">
        <v>195317</v>
      </c>
      <c r="AG26" s="165">
        <v>2965924.5</v>
      </c>
      <c r="AH26" s="140">
        <f t="shared" si="8"/>
        <v>0.28776373100529024</v>
      </c>
      <c r="AI26" s="140">
        <f t="shared" si="9"/>
        <v>0.64638260346815979</v>
      </c>
      <c r="AJ26" s="78">
        <f t="shared" si="10"/>
        <v>3126136.5</v>
      </c>
      <c r="AK26" s="123">
        <f t="shared" si="11"/>
        <v>0.27867193259155504</v>
      </c>
      <c r="AL26" s="123">
        <f t="shared" si="12"/>
        <v>0.62415828611450586</v>
      </c>
      <c r="AM26" s="310">
        <f t="shared" si="13"/>
        <v>0.90283021870606084</v>
      </c>
    </row>
    <row r="27" spans="1:39">
      <c r="A27" s="9">
        <v>25</v>
      </c>
      <c r="B27" s="1" t="s">
        <v>434</v>
      </c>
      <c r="C27" s="1" t="s">
        <v>435</v>
      </c>
      <c r="D27" s="1">
        <v>0</v>
      </c>
      <c r="E27" s="65" t="s">
        <v>1000</v>
      </c>
      <c r="F27" s="75">
        <v>1129.5</v>
      </c>
      <c r="G27" s="165">
        <v>9119</v>
      </c>
      <c r="H27" s="165">
        <v>78852.5</v>
      </c>
      <c r="I27">
        <v>89101</v>
      </c>
      <c r="J27" s="140">
        <f t="shared" si="0"/>
        <v>1.2676625402632967E-2</v>
      </c>
      <c r="K27" s="140">
        <f t="shared" si="1"/>
        <v>0.1023445303644179</v>
      </c>
      <c r="L27" s="165">
        <v>10287.5</v>
      </c>
      <c r="M27" s="165">
        <v>5137</v>
      </c>
      <c r="N27" s="165">
        <v>27840.5</v>
      </c>
      <c r="O27" s="165">
        <v>43265</v>
      </c>
      <c r="P27" s="140">
        <f t="shared" si="2"/>
        <v>0.2377788050387149</v>
      </c>
      <c r="Q27" s="140">
        <f t="shared" si="3"/>
        <v>0.11873338726453253</v>
      </c>
      <c r="R27" s="165">
        <v>11192.5</v>
      </c>
      <c r="S27" s="165">
        <v>4988</v>
      </c>
      <c r="T27" s="165">
        <v>4909</v>
      </c>
      <c r="U27" s="165">
        <v>21089.5</v>
      </c>
      <c r="V27" s="140">
        <f t="shared" si="4"/>
        <v>0.53071433651817257</v>
      </c>
      <c r="W27" s="140">
        <f t="shared" si="5"/>
        <v>0.23651580170226891</v>
      </c>
      <c r="X27" s="165">
        <v>20758</v>
      </c>
      <c r="Y27" s="165">
        <v>69912</v>
      </c>
      <c r="Z27" s="165">
        <v>40093</v>
      </c>
      <c r="AA27" s="165">
        <v>130763</v>
      </c>
      <c r="AB27" s="140">
        <f t="shared" si="6"/>
        <v>0.15874521080122053</v>
      </c>
      <c r="AC27" s="140">
        <f t="shared" si="7"/>
        <v>0.53464665081100926</v>
      </c>
      <c r="AD27" s="165">
        <v>490564.5</v>
      </c>
      <c r="AE27" s="165">
        <v>842320</v>
      </c>
      <c r="AF27" s="165">
        <v>200532</v>
      </c>
      <c r="AG27" s="165">
        <v>1533416.5</v>
      </c>
      <c r="AH27" s="140">
        <f t="shared" si="8"/>
        <v>0.31991601759861066</v>
      </c>
      <c r="AI27" s="140">
        <f t="shared" si="9"/>
        <v>0.549309336374038</v>
      </c>
      <c r="AJ27" s="78">
        <f t="shared" si="10"/>
        <v>1817635</v>
      </c>
      <c r="AK27" s="123">
        <f t="shared" si="11"/>
        <v>0.29375094559688825</v>
      </c>
      <c r="AL27" s="123">
        <f t="shared" si="12"/>
        <v>0.51246592412668113</v>
      </c>
      <c r="AM27" s="310">
        <f t="shared" si="13"/>
        <v>0.80621686972356943</v>
      </c>
    </row>
    <row r="28" spans="1:39">
      <c r="A28" s="9">
        <v>26</v>
      </c>
      <c r="B28" s="1" t="s">
        <v>439</v>
      </c>
      <c r="C28" s="1" t="s">
        <v>440</v>
      </c>
      <c r="D28" s="1">
        <v>0</v>
      </c>
      <c r="E28" s="65" t="s">
        <v>1000</v>
      </c>
      <c r="F28" s="76"/>
      <c r="I28">
        <v>0</v>
      </c>
      <c r="J28" s="140">
        <f t="shared" si="0"/>
        <v>0</v>
      </c>
      <c r="K28" s="140">
        <f t="shared" si="1"/>
        <v>0</v>
      </c>
      <c r="L28" s="165">
        <v>2686.5</v>
      </c>
      <c r="M28" s="165">
        <v>6803</v>
      </c>
      <c r="N28" s="165">
        <v>31324</v>
      </c>
      <c r="O28" s="165">
        <v>40813.5</v>
      </c>
      <c r="P28" s="140">
        <f t="shared" si="2"/>
        <v>6.5823808298724681E-2</v>
      </c>
      <c r="Q28" s="140">
        <f t="shared" si="3"/>
        <v>0.16668504293922354</v>
      </c>
      <c r="R28" s="165">
        <v>5071</v>
      </c>
      <c r="S28" s="165" t="s">
        <v>1001</v>
      </c>
      <c r="T28" s="165">
        <v>0</v>
      </c>
      <c r="U28" s="165">
        <v>5071</v>
      </c>
      <c r="V28" s="140">
        <f t="shared" si="4"/>
        <v>1</v>
      </c>
      <c r="W28" s="140">
        <f t="shared" si="5"/>
        <v>0</v>
      </c>
      <c r="X28" s="165">
        <v>0</v>
      </c>
      <c r="Y28" s="165" t="s">
        <v>1001</v>
      </c>
      <c r="Z28" s="165">
        <v>11452</v>
      </c>
      <c r="AA28" s="165">
        <v>11452</v>
      </c>
      <c r="AB28" s="140">
        <f t="shared" si="6"/>
        <v>0</v>
      </c>
      <c r="AC28" s="140">
        <f t="shared" si="7"/>
        <v>0</v>
      </c>
      <c r="AD28" s="165">
        <v>1933</v>
      </c>
      <c r="AE28" s="165" t="s">
        <v>1001</v>
      </c>
      <c r="AF28" s="165">
        <v>19574</v>
      </c>
      <c r="AG28" s="165">
        <v>21507</v>
      </c>
      <c r="AH28" s="140">
        <f t="shared" si="8"/>
        <v>8.9877714232575442E-2</v>
      </c>
      <c r="AI28" s="140">
        <f t="shared" si="9"/>
        <v>0</v>
      </c>
      <c r="AJ28" s="78">
        <f t="shared" si="10"/>
        <v>78843.5</v>
      </c>
      <c r="AK28" s="123">
        <f t="shared" si="11"/>
        <v>0.12290803934376328</v>
      </c>
      <c r="AL28" s="123">
        <f t="shared" si="12"/>
        <v>8.6284855441475836E-2</v>
      </c>
      <c r="AM28" s="310">
        <f t="shared" si="13"/>
        <v>0.20919289478523911</v>
      </c>
    </row>
    <row r="29" spans="1:39">
      <c r="A29" s="9">
        <v>27</v>
      </c>
      <c r="B29" s="1" t="s">
        <v>444</v>
      </c>
      <c r="C29" s="1" t="s">
        <v>445</v>
      </c>
      <c r="D29" s="1">
        <v>0</v>
      </c>
      <c r="E29" s="65" t="s">
        <v>1000</v>
      </c>
      <c r="F29" s="76"/>
      <c r="I29">
        <v>0</v>
      </c>
      <c r="J29" s="140">
        <f t="shared" si="0"/>
        <v>0</v>
      </c>
      <c r="K29" s="140">
        <f t="shared" si="1"/>
        <v>0</v>
      </c>
      <c r="L29" s="165">
        <v>2052.5</v>
      </c>
      <c r="M29" s="165">
        <v>4895</v>
      </c>
      <c r="N29" s="165">
        <v>38589.5</v>
      </c>
      <c r="O29" s="165">
        <v>45537</v>
      </c>
      <c r="P29" s="140">
        <f t="shared" si="2"/>
        <v>4.5073237147813867E-2</v>
      </c>
      <c r="Q29" s="140">
        <f t="shared" si="3"/>
        <v>0.10749500406263039</v>
      </c>
      <c r="R29" s="165">
        <v>3109</v>
      </c>
      <c r="S29" s="165" t="s">
        <v>1001</v>
      </c>
      <c r="T29" s="165">
        <v>71</v>
      </c>
      <c r="U29" s="165">
        <v>3180</v>
      </c>
      <c r="V29" s="140">
        <f t="shared" si="4"/>
        <v>0.97767295597484272</v>
      </c>
      <c r="W29" s="140">
        <f t="shared" si="5"/>
        <v>0</v>
      </c>
      <c r="X29" s="165">
        <v>800</v>
      </c>
      <c r="Y29" s="165">
        <v>15567</v>
      </c>
      <c r="Z29" s="165">
        <v>132189</v>
      </c>
      <c r="AA29" s="165">
        <v>148556</v>
      </c>
      <c r="AB29" s="140">
        <f t="shared" si="6"/>
        <v>5.3851746142868683E-3</v>
      </c>
      <c r="AC29" s="140">
        <f t="shared" si="7"/>
        <v>0.1047887665257546</v>
      </c>
      <c r="AD29" s="165">
        <v>6580</v>
      </c>
      <c r="AE29" s="165">
        <v>120244</v>
      </c>
      <c r="AF29" s="165">
        <v>269977.5</v>
      </c>
      <c r="AG29" s="165">
        <v>396801.5</v>
      </c>
      <c r="AH29" s="140">
        <f t="shared" si="8"/>
        <v>1.658259860408794E-2</v>
      </c>
      <c r="AI29" s="140">
        <f t="shared" si="9"/>
        <v>0.30303312865500759</v>
      </c>
      <c r="AJ29" s="78">
        <f t="shared" si="10"/>
        <v>594074.5</v>
      </c>
      <c r="AK29" s="123">
        <f t="shared" si="11"/>
        <v>2.1110988604964531E-2</v>
      </c>
      <c r="AL29" s="123">
        <f t="shared" si="12"/>
        <v>0.23684908205957333</v>
      </c>
      <c r="AM29" s="310">
        <f t="shared" si="13"/>
        <v>0.25796007066453785</v>
      </c>
    </row>
    <row r="30" spans="1:39">
      <c r="A30" s="9">
        <v>28</v>
      </c>
      <c r="B30" s="1" t="s">
        <v>449</v>
      </c>
      <c r="C30" s="1" t="s">
        <v>450</v>
      </c>
      <c r="D30" s="1">
        <v>0</v>
      </c>
      <c r="E30" s="65" t="s">
        <v>1000</v>
      </c>
      <c r="F30" s="76"/>
      <c r="I30">
        <v>0</v>
      </c>
      <c r="J30" s="140">
        <f t="shared" si="0"/>
        <v>0</v>
      </c>
      <c r="K30" s="140">
        <f t="shared" si="1"/>
        <v>0</v>
      </c>
      <c r="L30" s="165">
        <v>670</v>
      </c>
      <c r="M30" s="165">
        <v>1857</v>
      </c>
      <c r="N30" s="165">
        <v>0</v>
      </c>
      <c r="O30" s="165">
        <v>2527</v>
      </c>
      <c r="P30" s="140">
        <f t="shared" si="2"/>
        <v>0.26513652552433714</v>
      </c>
      <c r="Q30" s="140">
        <f t="shared" si="3"/>
        <v>0.7348634744756628</v>
      </c>
      <c r="R30" s="165">
        <v>1659</v>
      </c>
      <c r="S30" s="165" t="s">
        <v>1002</v>
      </c>
      <c r="T30" s="165">
        <v>0</v>
      </c>
      <c r="U30" s="165">
        <v>1659</v>
      </c>
      <c r="V30" s="140">
        <f t="shared" si="4"/>
        <v>1</v>
      </c>
      <c r="W30" s="140">
        <f t="shared" si="5"/>
        <v>0</v>
      </c>
      <c r="X30" s="165">
        <v>0</v>
      </c>
      <c r="Y30" s="165" t="s">
        <v>1002</v>
      </c>
      <c r="Z30" s="165">
        <v>72965</v>
      </c>
      <c r="AA30" s="165">
        <v>72965</v>
      </c>
      <c r="AB30" s="140">
        <f t="shared" si="6"/>
        <v>0</v>
      </c>
      <c r="AC30" s="140">
        <f t="shared" si="7"/>
        <v>0</v>
      </c>
      <c r="AD30" s="165">
        <v>0</v>
      </c>
      <c r="AE30" s="165">
        <v>2</v>
      </c>
      <c r="AF30" s="165">
        <v>4</v>
      </c>
      <c r="AG30" s="165">
        <v>6</v>
      </c>
      <c r="AH30" s="140">
        <f t="shared" si="8"/>
        <v>0</v>
      </c>
      <c r="AI30" s="140">
        <f t="shared" si="9"/>
        <v>0.33333333333333331</v>
      </c>
      <c r="AJ30" s="78">
        <f t="shared" si="10"/>
        <v>77157</v>
      </c>
      <c r="AK30" s="123">
        <f t="shared" si="11"/>
        <v>3.0185206786163276E-2</v>
      </c>
      <c r="AL30" s="123">
        <f t="shared" si="12"/>
        <v>2.4093730964138055E-2</v>
      </c>
      <c r="AM30" s="310">
        <f t="shared" si="13"/>
        <v>5.4278937750301334E-2</v>
      </c>
    </row>
    <row r="31" spans="1:39">
      <c r="A31" s="9">
        <v>29</v>
      </c>
      <c r="B31" s="1" t="s">
        <v>454</v>
      </c>
      <c r="C31" s="1" t="s">
        <v>455</v>
      </c>
      <c r="D31" s="1">
        <v>0</v>
      </c>
      <c r="E31" s="65" t="s">
        <v>1000</v>
      </c>
      <c r="F31" s="76"/>
      <c r="I31">
        <v>0</v>
      </c>
      <c r="J31" s="140">
        <f t="shared" si="0"/>
        <v>0</v>
      </c>
      <c r="K31" s="140">
        <f t="shared" si="1"/>
        <v>0</v>
      </c>
      <c r="L31" s="165">
        <v>5125</v>
      </c>
      <c r="M31" s="165">
        <v>8989</v>
      </c>
      <c r="N31" s="165">
        <v>2911</v>
      </c>
      <c r="O31" s="165">
        <v>17025</v>
      </c>
      <c r="P31" s="140">
        <f t="shared" si="2"/>
        <v>0.30102790014684289</v>
      </c>
      <c r="Q31" s="140">
        <f t="shared" si="3"/>
        <v>0.52798825256975035</v>
      </c>
      <c r="R31" s="165">
        <v>4548</v>
      </c>
      <c r="S31" s="165">
        <v>4355</v>
      </c>
      <c r="T31" s="165">
        <v>1875</v>
      </c>
      <c r="U31" s="165">
        <v>10778</v>
      </c>
      <c r="V31" s="140">
        <f t="shared" si="4"/>
        <v>0.42197068101688623</v>
      </c>
      <c r="W31" s="140">
        <f t="shared" si="5"/>
        <v>0.4040638337353869</v>
      </c>
      <c r="X31" s="165">
        <v>4232</v>
      </c>
      <c r="Y31" s="165">
        <v>8586</v>
      </c>
      <c r="Z31" s="165">
        <v>35889</v>
      </c>
      <c r="AA31" s="165">
        <v>48707</v>
      </c>
      <c r="AB31" s="140">
        <f t="shared" si="6"/>
        <v>8.688689510747942E-2</v>
      </c>
      <c r="AC31" s="140">
        <f t="shared" si="7"/>
        <v>0.176278563656148</v>
      </c>
      <c r="AD31" s="165">
        <v>1831</v>
      </c>
      <c r="AE31" s="165">
        <v>653</v>
      </c>
      <c r="AF31" s="165">
        <v>0</v>
      </c>
      <c r="AG31" s="165">
        <v>2484</v>
      </c>
      <c r="AH31" s="140">
        <f t="shared" si="8"/>
        <v>0.73711755233494369</v>
      </c>
      <c r="AI31" s="140">
        <f t="shared" si="9"/>
        <v>0.26288244766505636</v>
      </c>
      <c r="AJ31" s="78">
        <f t="shared" si="10"/>
        <v>78994</v>
      </c>
      <c r="AK31" s="123">
        <f t="shared" si="11"/>
        <v>0.19920500291161353</v>
      </c>
      <c r="AL31" s="123">
        <f t="shared" si="12"/>
        <v>0.28588247208648759</v>
      </c>
      <c r="AM31" s="310">
        <f t="shared" si="13"/>
        <v>0.48508747499810112</v>
      </c>
    </row>
    <row r="32" spans="1:39">
      <c r="A32" s="9">
        <v>30</v>
      </c>
      <c r="B32" s="1" t="s">
        <v>459</v>
      </c>
      <c r="C32" s="1" t="s">
        <v>460</v>
      </c>
      <c r="D32" s="1">
        <v>0</v>
      </c>
      <c r="E32" s="65" t="s">
        <v>1000</v>
      </c>
      <c r="F32" s="76"/>
      <c r="I32">
        <v>0</v>
      </c>
      <c r="J32" s="140">
        <f t="shared" si="0"/>
        <v>0</v>
      </c>
      <c r="K32" s="140">
        <f t="shared" si="1"/>
        <v>0</v>
      </c>
      <c r="L32" s="165">
        <v>9914.5</v>
      </c>
      <c r="M32" s="165">
        <v>28872</v>
      </c>
      <c r="N32" s="165">
        <v>101604.5</v>
      </c>
      <c r="O32" s="165">
        <v>140391</v>
      </c>
      <c r="P32" s="140">
        <f t="shared" si="2"/>
        <v>7.0620623829162843E-2</v>
      </c>
      <c r="Q32" s="140">
        <f t="shared" si="3"/>
        <v>0.20565420860311559</v>
      </c>
      <c r="R32" s="165">
        <v>10413</v>
      </c>
      <c r="S32" s="165">
        <v>23486</v>
      </c>
      <c r="T32" s="165">
        <v>65600.5</v>
      </c>
      <c r="U32" s="165">
        <v>99499.5</v>
      </c>
      <c r="V32" s="140">
        <f t="shared" si="4"/>
        <v>0.1046537922301117</v>
      </c>
      <c r="W32" s="140">
        <f t="shared" si="5"/>
        <v>0.23604138714264897</v>
      </c>
      <c r="X32" s="165">
        <v>0</v>
      </c>
      <c r="Y32" s="165">
        <v>7627</v>
      </c>
      <c r="Z32" s="165">
        <v>9868</v>
      </c>
      <c r="AA32" s="165">
        <v>17495</v>
      </c>
      <c r="AB32" s="140">
        <f t="shared" si="6"/>
        <v>0</v>
      </c>
      <c r="AC32" s="140">
        <f t="shared" si="7"/>
        <v>0.43595312946556158</v>
      </c>
      <c r="AD32" s="165">
        <v>4540</v>
      </c>
      <c r="AE32" s="165">
        <v>3594</v>
      </c>
      <c r="AF32" s="165">
        <v>4981</v>
      </c>
      <c r="AG32" s="165">
        <v>13115</v>
      </c>
      <c r="AH32" s="140">
        <f t="shared" si="8"/>
        <v>0.34616850934044985</v>
      </c>
      <c r="AI32" s="140">
        <f t="shared" si="9"/>
        <v>0.27403736179946625</v>
      </c>
      <c r="AJ32" s="78">
        <f t="shared" si="10"/>
        <v>270500.5</v>
      </c>
      <c r="AK32" s="123">
        <f t="shared" si="11"/>
        <v>9.1931438204365612E-2</v>
      </c>
      <c r="AL32" s="123">
        <f t="shared" si="12"/>
        <v>0.23504207940465915</v>
      </c>
      <c r="AM32" s="310">
        <f t="shared" si="13"/>
        <v>0.32697351760902477</v>
      </c>
    </row>
    <row r="33" spans="1:39">
      <c r="A33" s="9">
        <v>31</v>
      </c>
      <c r="B33" s="1" t="s">
        <v>464</v>
      </c>
      <c r="C33" s="1" t="s">
        <v>465</v>
      </c>
      <c r="D33" s="1">
        <v>0</v>
      </c>
      <c r="E33" s="65" t="s">
        <v>1000</v>
      </c>
      <c r="F33" s="76"/>
      <c r="I33">
        <v>0</v>
      </c>
      <c r="J33" s="140">
        <f t="shared" si="0"/>
        <v>0</v>
      </c>
      <c r="K33" s="140">
        <f t="shared" si="1"/>
        <v>0</v>
      </c>
      <c r="L33" s="165">
        <v>5702.5</v>
      </c>
      <c r="M33" s="165">
        <v>5095</v>
      </c>
      <c r="N33" s="165">
        <v>82368.5</v>
      </c>
      <c r="O33" s="165">
        <v>93166</v>
      </c>
      <c r="P33" s="140">
        <f t="shared" si="2"/>
        <v>6.1207951398578882E-2</v>
      </c>
      <c r="Q33" s="140">
        <f t="shared" si="3"/>
        <v>5.468733228860314E-2</v>
      </c>
      <c r="R33" s="165">
        <v>16725</v>
      </c>
      <c r="S33" s="165">
        <v>21063</v>
      </c>
      <c r="T33" s="165">
        <v>63996</v>
      </c>
      <c r="U33" s="165">
        <v>101784</v>
      </c>
      <c r="V33" s="140">
        <f t="shared" si="4"/>
        <v>0.16431855694411696</v>
      </c>
      <c r="W33" s="140">
        <f t="shared" si="5"/>
        <v>0.20693822211742513</v>
      </c>
      <c r="X33" s="165">
        <v>76</v>
      </c>
      <c r="Y33" s="165" t="s">
        <v>1001</v>
      </c>
      <c r="Z33" s="165">
        <v>1303686</v>
      </c>
      <c r="AA33" s="165">
        <v>1303762</v>
      </c>
      <c r="AB33" s="140">
        <f t="shared" si="6"/>
        <v>5.8292847927765955E-5</v>
      </c>
      <c r="AC33" s="140">
        <f t="shared" si="7"/>
        <v>0</v>
      </c>
      <c r="AD33" s="165">
        <v>817.5</v>
      </c>
      <c r="AE33" s="165" t="s">
        <v>1001</v>
      </c>
      <c r="AF33" s="165">
        <v>0</v>
      </c>
      <c r="AG33" s="165">
        <v>817.5</v>
      </c>
      <c r="AH33" s="140">
        <f t="shared" si="8"/>
        <v>1</v>
      </c>
      <c r="AI33" s="140">
        <f t="shared" si="9"/>
        <v>0</v>
      </c>
      <c r="AJ33" s="78">
        <f t="shared" si="10"/>
        <v>1499529.5</v>
      </c>
      <c r="AK33" s="123">
        <f t="shared" si="11"/>
        <v>1.5552211543687538E-2</v>
      </c>
      <c r="AL33" s="123">
        <f t="shared" si="12"/>
        <v>1.744413831138367E-2</v>
      </c>
      <c r="AM33" s="310">
        <f t="shared" si="13"/>
        <v>3.2996349855071209E-2</v>
      </c>
    </row>
    <row r="34" spans="1:39">
      <c r="A34" s="9">
        <v>32</v>
      </c>
      <c r="B34" s="1" t="s">
        <v>469</v>
      </c>
      <c r="C34" s="1" t="s">
        <v>470</v>
      </c>
      <c r="D34" s="1">
        <v>0</v>
      </c>
      <c r="E34" s="65" t="s">
        <v>1000</v>
      </c>
      <c r="F34" s="76"/>
      <c r="I34">
        <v>0</v>
      </c>
      <c r="J34" s="140">
        <f t="shared" si="0"/>
        <v>0</v>
      </c>
      <c r="K34" s="140">
        <f t="shared" si="1"/>
        <v>0</v>
      </c>
      <c r="L34" s="165">
        <v>30911</v>
      </c>
      <c r="M34" s="165">
        <v>39844</v>
      </c>
      <c r="N34" s="165">
        <v>139189.5</v>
      </c>
      <c r="O34" s="165">
        <v>209944.5</v>
      </c>
      <c r="P34" s="140">
        <f t="shared" si="2"/>
        <v>0.14723414997773221</v>
      </c>
      <c r="Q34" s="140">
        <f t="shared" si="3"/>
        <v>0.18978349039865297</v>
      </c>
      <c r="R34" s="165">
        <v>53421.5</v>
      </c>
      <c r="S34" s="165">
        <v>111122</v>
      </c>
      <c r="T34" s="165">
        <v>199349.5</v>
      </c>
      <c r="U34" s="165">
        <v>363893</v>
      </c>
      <c r="V34" s="140">
        <f t="shared" si="4"/>
        <v>0.14680551700637276</v>
      </c>
      <c r="W34" s="140">
        <f t="shared" si="5"/>
        <v>0.30536998513299241</v>
      </c>
      <c r="X34" s="165">
        <v>60684.5</v>
      </c>
      <c r="Y34" s="165">
        <v>243158</v>
      </c>
      <c r="Z34" s="165">
        <v>1325666.5</v>
      </c>
      <c r="AA34" s="165">
        <v>1629509</v>
      </c>
      <c r="AB34" s="140">
        <f t="shared" si="6"/>
        <v>3.7240972587448122E-2</v>
      </c>
      <c r="AC34" s="140">
        <f t="shared" si="7"/>
        <v>0.14922163670160765</v>
      </c>
      <c r="AD34" s="165">
        <v>11244.5</v>
      </c>
      <c r="AE34" s="165">
        <v>25550</v>
      </c>
      <c r="AF34" s="165">
        <v>118038.5</v>
      </c>
      <c r="AG34" s="165">
        <v>154833</v>
      </c>
      <c r="AH34" s="140">
        <f t="shared" si="8"/>
        <v>7.2623407154805503E-2</v>
      </c>
      <c r="AI34" s="140">
        <f t="shared" si="9"/>
        <v>0.16501650165016502</v>
      </c>
      <c r="AJ34" s="78">
        <f t="shared" si="10"/>
        <v>2358179.5</v>
      </c>
      <c r="AK34" s="123">
        <f t="shared" si="11"/>
        <v>6.6263615640794096E-2</v>
      </c>
      <c r="AL34" s="123">
        <f t="shared" si="12"/>
        <v>0.17796524819251461</v>
      </c>
      <c r="AM34" s="310">
        <f t="shared" si="13"/>
        <v>0.24422886383330872</v>
      </c>
    </row>
    <row r="35" spans="1:39">
      <c r="A35" s="9">
        <v>33</v>
      </c>
      <c r="B35" s="1" t="s">
        <v>474</v>
      </c>
      <c r="C35" s="1" t="s">
        <v>475</v>
      </c>
      <c r="D35" s="1">
        <v>1</v>
      </c>
      <c r="E35" s="65" t="s">
        <v>1000</v>
      </c>
      <c r="F35" s="76"/>
      <c r="I35">
        <v>0</v>
      </c>
      <c r="J35" s="140">
        <f t="shared" ref="J35:J52" si="14">IFERROR(F35/$I35, )</f>
        <v>0</v>
      </c>
      <c r="K35" s="140">
        <f t="shared" ref="K35:K52" si="15">IFERROR(G35/$I35, )</f>
        <v>0</v>
      </c>
      <c r="L35" s="165">
        <v>20669.5</v>
      </c>
      <c r="M35" s="165">
        <v>44491</v>
      </c>
      <c r="N35" s="165">
        <v>198626</v>
      </c>
      <c r="O35" s="165">
        <v>263786.5</v>
      </c>
      <c r="P35" s="140">
        <f t="shared" ref="P35:P52" si="16">IFERROR(L35/$O35, )</f>
        <v>7.835692880416549E-2</v>
      </c>
      <c r="Q35" s="140">
        <f t="shared" ref="Q35:Q52" si="17">IFERROR(M35/$O35, )</f>
        <v>0.16866291489518986</v>
      </c>
      <c r="R35" s="165">
        <v>24445.5</v>
      </c>
      <c r="S35" s="165">
        <v>40879</v>
      </c>
      <c r="T35" s="165">
        <v>41877</v>
      </c>
      <c r="U35" s="165">
        <v>107201.5</v>
      </c>
      <c r="V35" s="140">
        <f t="shared" ref="V35:V52" si="18">IFERROR(R35/$U35, )</f>
        <v>0.22803318983409748</v>
      </c>
      <c r="W35" s="140">
        <f t="shared" ref="W35:W52" si="19">IFERROR(S35/$U35, )</f>
        <v>0.38132861946894397</v>
      </c>
      <c r="X35" s="165">
        <v>2581.5</v>
      </c>
      <c r="Y35" s="165">
        <v>12701</v>
      </c>
      <c r="Z35" s="165">
        <v>91282</v>
      </c>
      <c r="AA35" s="165">
        <v>106564.5</v>
      </c>
      <c r="AB35" s="140">
        <f t="shared" ref="AB35:AB52" si="20">IFERROR(X35/$AA35, )</f>
        <v>2.4224765282997621E-2</v>
      </c>
      <c r="AC35" s="140">
        <f t="shared" ref="AC35:AC52" si="21">IFERROR(Y35/$AA35, )</f>
        <v>0.11918603287211031</v>
      </c>
      <c r="AD35" s="165">
        <v>1607300.5</v>
      </c>
      <c r="AE35" s="165">
        <v>3324262</v>
      </c>
      <c r="AF35" s="165">
        <v>703048</v>
      </c>
      <c r="AG35" s="165">
        <v>5634610.5</v>
      </c>
      <c r="AH35" s="140">
        <f t="shared" ref="AH35:AH52" si="22">IFERROR(AD35/$AG35, )</f>
        <v>0.28525494353158926</v>
      </c>
      <c r="AI35" s="140">
        <f t="shared" ref="AI35:AI52" si="23">IFERROR(AE35/$AG35, )</f>
        <v>0.58997192441252155</v>
      </c>
      <c r="AJ35" s="78">
        <f t="shared" ref="AJ35:AJ52" si="24">SUM(I35,O35,U35,AA35,AG35)</f>
        <v>6112163</v>
      </c>
      <c r="AK35" s="123">
        <f t="shared" ref="AK35:AK52" si="25">((J35*$I35)+(P35*$O35)+(V35*$U35)+(AB35*$AA35)+(AH35*$AG35))/$AJ35</f>
        <v>0.27077108382089943</v>
      </c>
      <c r="AL35" s="123">
        <f t="shared" ref="AL35:AL52" si="26">((K35*$I35)+(Q35*$O35)+(W35*$U35)+(AC35*$AA35)+(AI35*$AG35))/$AJ35</f>
        <v>0.5599217494690506</v>
      </c>
      <c r="AM35" s="310">
        <f t="shared" ref="AM35:AM52" si="27">AK35+AL35</f>
        <v>0.83069283328995003</v>
      </c>
    </row>
    <row r="36" spans="1:39">
      <c r="A36" s="9">
        <v>34</v>
      </c>
      <c r="B36" s="1" t="s">
        <v>479</v>
      </c>
      <c r="C36" s="1" t="s">
        <v>480</v>
      </c>
      <c r="D36" s="1">
        <v>0</v>
      </c>
      <c r="E36" s="65" t="s">
        <v>1000</v>
      </c>
      <c r="F36" s="76"/>
      <c r="I36">
        <v>0</v>
      </c>
      <c r="J36" s="140">
        <f t="shared" si="14"/>
        <v>0</v>
      </c>
      <c r="K36" s="140">
        <f t="shared" si="15"/>
        <v>0</v>
      </c>
      <c r="L36" s="165">
        <v>1563.5</v>
      </c>
      <c r="M36" s="165">
        <v>3743</v>
      </c>
      <c r="N36" s="165">
        <v>109046.5</v>
      </c>
      <c r="O36" s="165">
        <v>114353</v>
      </c>
      <c r="P36" s="140">
        <f t="shared" si="16"/>
        <v>1.3672575271309016E-2</v>
      </c>
      <c r="Q36" s="140">
        <f t="shared" si="17"/>
        <v>3.273197904733588E-2</v>
      </c>
      <c r="R36" s="165">
        <v>474</v>
      </c>
      <c r="S36" s="165" t="s">
        <v>1001</v>
      </c>
      <c r="T36" s="165">
        <v>280</v>
      </c>
      <c r="U36" s="165">
        <v>754</v>
      </c>
      <c r="V36" s="140">
        <f t="shared" si="18"/>
        <v>0.62864721485411146</v>
      </c>
      <c r="W36" s="140">
        <f t="shared" si="19"/>
        <v>0</v>
      </c>
      <c r="X36" s="165">
        <v>0</v>
      </c>
      <c r="Y36" s="165">
        <v>3050</v>
      </c>
      <c r="Z36" s="165">
        <v>33503.5</v>
      </c>
      <c r="AA36" s="165">
        <v>36553.5</v>
      </c>
      <c r="AB36" s="140">
        <f t="shared" si="20"/>
        <v>0</v>
      </c>
      <c r="AC36" s="140">
        <f t="shared" si="21"/>
        <v>8.3439342333839442E-2</v>
      </c>
      <c r="AD36" s="165">
        <v>421.5</v>
      </c>
      <c r="AE36" s="165">
        <v>712</v>
      </c>
      <c r="AF36" s="165">
        <v>0</v>
      </c>
      <c r="AG36" s="165">
        <v>1133.5</v>
      </c>
      <c r="AH36" s="140">
        <f t="shared" si="22"/>
        <v>0.37185707984119981</v>
      </c>
      <c r="AI36" s="140">
        <f t="shared" si="23"/>
        <v>0.62814292015880013</v>
      </c>
      <c r="AJ36" s="78">
        <f t="shared" si="24"/>
        <v>152794</v>
      </c>
      <c r="AK36" s="123">
        <f t="shared" si="25"/>
        <v>1.6093563883398564E-2</v>
      </c>
      <c r="AL36" s="123">
        <f t="shared" si="26"/>
        <v>4.9118420880401061E-2</v>
      </c>
      <c r="AM36" s="310">
        <f t="shared" si="27"/>
        <v>6.5211984763799621E-2</v>
      </c>
    </row>
    <row r="37" spans="1:39">
      <c r="A37" s="9">
        <v>35</v>
      </c>
      <c r="B37" s="1" t="s">
        <v>484</v>
      </c>
      <c r="C37" s="1" t="s">
        <v>485</v>
      </c>
      <c r="D37" s="1">
        <v>0</v>
      </c>
      <c r="E37" s="65" t="s">
        <v>1000</v>
      </c>
      <c r="F37" s="76"/>
      <c r="I37">
        <v>0</v>
      </c>
      <c r="J37" s="140">
        <f t="shared" si="14"/>
        <v>0</v>
      </c>
      <c r="K37" s="140">
        <f t="shared" si="15"/>
        <v>0</v>
      </c>
      <c r="L37" s="165">
        <v>21900</v>
      </c>
      <c r="M37" s="165">
        <v>20958</v>
      </c>
      <c r="N37" s="165">
        <v>47516.5</v>
      </c>
      <c r="O37" s="165">
        <v>90374.5</v>
      </c>
      <c r="P37" s="140">
        <f t="shared" si="16"/>
        <v>0.24232499211613895</v>
      </c>
      <c r="Q37" s="140">
        <f t="shared" si="17"/>
        <v>0.23190169793470503</v>
      </c>
      <c r="R37" s="165">
        <v>17673.5</v>
      </c>
      <c r="S37" s="165">
        <v>17010</v>
      </c>
      <c r="T37" s="165">
        <v>12946</v>
      </c>
      <c r="U37" s="165">
        <v>47629.5</v>
      </c>
      <c r="V37" s="140">
        <f t="shared" si="18"/>
        <v>0.37106205187961244</v>
      </c>
      <c r="W37" s="140">
        <f t="shared" si="19"/>
        <v>0.35713160961169022</v>
      </c>
      <c r="X37" s="165">
        <v>36595.5</v>
      </c>
      <c r="Y37" s="165">
        <v>148422</v>
      </c>
      <c r="Z37" s="165">
        <v>349329</v>
      </c>
      <c r="AA37" s="165">
        <v>534346.5</v>
      </c>
      <c r="AB37" s="140">
        <f t="shared" si="20"/>
        <v>6.8486459628724058E-2</v>
      </c>
      <c r="AC37" s="140">
        <f t="shared" si="21"/>
        <v>0.27776358598774392</v>
      </c>
      <c r="AD37" s="165">
        <v>318797.5</v>
      </c>
      <c r="AE37" s="165">
        <v>461241</v>
      </c>
      <c r="AF37" s="165">
        <v>469149.5</v>
      </c>
      <c r="AG37" s="165">
        <v>1249188</v>
      </c>
      <c r="AH37" s="140">
        <f t="shared" si="22"/>
        <v>0.2552037803757321</v>
      </c>
      <c r="AI37" s="140">
        <f t="shared" si="23"/>
        <v>0.36923265353173423</v>
      </c>
      <c r="AJ37" s="78">
        <f t="shared" si="24"/>
        <v>1921538.5</v>
      </c>
      <c r="AK37" s="123">
        <f t="shared" si="25"/>
        <v>0.20554701349985965</v>
      </c>
      <c r="AL37" s="123">
        <f t="shared" si="26"/>
        <v>0.33703774345400833</v>
      </c>
      <c r="AM37" s="310">
        <f t="shared" si="27"/>
        <v>0.54258475695386799</v>
      </c>
    </row>
    <row r="38" spans="1:39">
      <c r="A38" s="9">
        <v>36</v>
      </c>
      <c r="B38" s="1" t="s">
        <v>141</v>
      </c>
      <c r="C38" s="1" t="s">
        <v>489</v>
      </c>
      <c r="D38" s="1">
        <v>1</v>
      </c>
      <c r="E38" s="65" t="s">
        <v>1000</v>
      </c>
      <c r="F38" s="76"/>
      <c r="I38">
        <v>0</v>
      </c>
      <c r="J38" s="140">
        <f t="shared" si="14"/>
        <v>0</v>
      </c>
      <c r="K38" s="140">
        <f t="shared" si="15"/>
        <v>0</v>
      </c>
      <c r="L38" s="165">
        <v>5190</v>
      </c>
      <c r="M38" s="165">
        <v>2355</v>
      </c>
      <c r="N38" s="165">
        <v>10291</v>
      </c>
      <c r="O38" s="165">
        <v>17836</v>
      </c>
      <c r="P38" s="140">
        <f t="shared" si="16"/>
        <v>0.29098452567840322</v>
      </c>
      <c r="Q38" s="140">
        <f t="shared" si="17"/>
        <v>0.13203633101592285</v>
      </c>
      <c r="R38" s="165">
        <v>10527.5</v>
      </c>
      <c r="S38" s="165">
        <v>6166</v>
      </c>
      <c r="T38" s="165">
        <v>0</v>
      </c>
      <c r="U38" s="165">
        <v>16693.5</v>
      </c>
      <c r="V38" s="140">
        <f t="shared" si="18"/>
        <v>0.63063467816814933</v>
      </c>
      <c r="W38" s="140">
        <f t="shared" si="19"/>
        <v>0.36936532183185072</v>
      </c>
      <c r="X38" s="165">
        <v>3097.5</v>
      </c>
      <c r="Y38" s="165">
        <v>20736</v>
      </c>
      <c r="Z38" s="165">
        <v>94211.5</v>
      </c>
      <c r="AA38" s="165">
        <v>118045</v>
      </c>
      <c r="AB38" s="140">
        <f t="shared" si="20"/>
        <v>2.6239993222923461E-2</v>
      </c>
      <c r="AC38" s="140">
        <f t="shared" si="21"/>
        <v>0.17566182388072346</v>
      </c>
      <c r="AD38" s="165">
        <v>266065.5</v>
      </c>
      <c r="AE38" s="165">
        <v>495307</v>
      </c>
      <c r="AF38" s="165">
        <v>209309</v>
      </c>
      <c r="AG38" s="165">
        <v>970681.5</v>
      </c>
      <c r="AH38" s="140">
        <f t="shared" si="22"/>
        <v>0.27410175222253641</v>
      </c>
      <c r="AI38" s="140">
        <f t="shared" si="23"/>
        <v>0.51026727098435476</v>
      </c>
      <c r="AJ38" s="78">
        <f t="shared" si="24"/>
        <v>1123256</v>
      </c>
      <c r="AK38" s="123">
        <f t="shared" si="25"/>
        <v>0.2536202789034735</v>
      </c>
      <c r="AL38" s="123">
        <f t="shared" si="26"/>
        <v>0.46700306964752469</v>
      </c>
      <c r="AM38" s="310">
        <f t="shared" si="27"/>
        <v>0.72062334855099819</v>
      </c>
    </row>
    <row r="39" spans="1:39">
      <c r="A39" s="9">
        <v>37</v>
      </c>
      <c r="B39" s="1" t="s">
        <v>493</v>
      </c>
      <c r="C39" s="1" t="s">
        <v>494</v>
      </c>
      <c r="D39" s="1">
        <v>0</v>
      </c>
      <c r="E39" s="65" t="s">
        <v>1000</v>
      </c>
      <c r="F39" s="76"/>
      <c r="I39">
        <v>0</v>
      </c>
      <c r="J39" s="140">
        <f t="shared" si="14"/>
        <v>0</v>
      </c>
      <c r="K39" s="140">
        <f t="shared" si="15"/>
        <v>0</v>
      </c>
      <c r="L39" s="165">
        <v>12191.5</v>
      </c>
      <c r="M39" s="165">
        <v>37464</v>
      </c>
      <c r="N39" s="165">
        <v>275629</v>
      </c>
      <c r="O39" s="165">
        <v>325284.5</v>
      </c>
      <c r="P39" s="140">
        <f t="shared" si="16"/>
        <v>3.7479498715739606E-2</v>
      </c>
      <c r="Q39" s="140">
        <f t="shared" si="17"/>
        <v>0.11517302545925183</v>
      </c>
      <c r="R39" s="165">
        <v>67809</v>
      </c>
      <c r="S39" s="165">
        <v>154332</v>
      </c>
      <c r="T39" s="165">
        <v>179389</v>
      </c>
      <c r="U39" s="165">
        <v>401530</v>
      </c>
      <c r="V39" s="140">
        <f t="shared" si="18"/>
        <v>0.16887654720693349</v>
      </c>
      <c r="W39" s="140">
        <f t="shared" si="19"/>
        <v>0.38435982367444527</v>
      </c>
      <c r="X39" s="165">
        <v>1283</v>
      </c>
      <c r="Y39" s="165">
        <v>14349</v>
      </c>
      <c r="Z39" s="165">
        <v>166314.5</v>
      </c>
      <c r="AA39" s="165">
        <v>181946.5</v>
      </c>
      <c r="AB39" s="140">
        <f t="shared" si="20"/>
        <v>7.0515233873693637E-3</v>
      </c>
      <c r="AC39" s="140">
        <f t="shared" si="21"/>
        <v>7.8863841843618859E-2</v>
      </c>
      <c r="AD39" s="165">
        <v>9828</v>
      </c>
      <c r="AE39" s="165">
        <v>55911</v>
      </c>
      <c r="AF39" s="165">
        <v>28485</v>
      </c>
      <c r="AG39" s="165">
        <v>94224</v>
      </c>
      <c r="AH39" s="140">
        <f t="shared" si="22"/>
        <v>0.10430463576158941</v>
      </c>
      <c r="AI39" s="140">
        <f t="shared" si="23"/>
        <v>0.59338385124808968</v>
      </c>
      <c r="AJ39" s="78">
        <f t="shared" si="24"/>
        <v>1002985</v>
      </c>
      <c r="AK39" s="123">
        <f t="shared" si="25"/>
        <v>9.0840341580382553E-2</v>
      </c>
      <c r="AL39" s="123">
        <f t="shared" si="26"/>
        <v>0.26127609086875675</v>
      </c>
      <c r="AM39" s="310">
        <f t="shared" si="27"/>
        <v>0.35211643244913932</v>
      </c>
    </row>
    <row r="40" spans="1:39">
      <c r="A40" s="9">
        <v>38</v>
      </c>
      <c r="B40" s="1" t="s">
        <v>498</v>
      </c>
      <c r="C40" s="1" t="s">
        <v>499</v>
      </c>
      <c r="D40" s="1">
        <v>0</v>
      </c>
      <c r="E40" s="65" t="s">
        <v>1000</v>
      </c>
      <c r="F40" s="76"/>
      <c r="I40">
        <v>0</v>
      </c>
      <c r="J40" s="140">
        <f t="shared" si="14"/>
        <v>0</v>
      </c>
      <c r="K40" s="140">
        <f t="shared" si="15"/>
        <v>0</v>
      </c>
      <c r="L40" s="165">
        <v>38568</v>
      </c>
      <c r="M40" s="165">
        <v>46352</v>
      </c>
      <c r="N40" s="165">
        <v>46108.5</v>
      </c>
      <c r="O40" s="165">
        <v>131028.5</v>
      </c>
      <c r="P40" s="140">
        <f t="shared" si="16"/>
        <v>0.29434817616014836</v>
      </c>
      <c r="Q40" s="140">
        <f t="shared" si="17"/>
        <v>0.35375509908149755</v>
      </c>
      <c r="R40" s="165">
        <v>40841</v>
      </c>
      <c r="S40" s="165">
        <v>70059</v>
      </c>
      <c r="T40" s="165">
        <v>44481.5</v>
      </c>
      <c r="U40" s="165">
        <v>155381.5</v>
      </c>
      <c r="V40" s="140">
        <f t="shared" si="18"/>
        <v>0.26284338869170398</v>
      </c>
      <c r="W40" s="140">
        <f t="shared" si="19"/>
        <v>0.45088379247207677</v>
      </c>
      <c r="X40" s="165">
        <v>84392</v>
      </c>
      <c r="Y40" s="165">
        <v>608205</v>
      </c>
      <c r="Z40" s="165">
        <v>517156</v>
      </c>
      <c r="AA40" s="165">
        <v>1209753</v>
      </c>
      <c r="AB40" s="140">
        <f t="shared" si="20"/>
        <v>6.9759694747605502E-2</v>
      </c>
      <c r="AC40" s="140">
        <f t="shared" si="21"/>
        <v>0.50275138809327191</v>
      </c>
      <c r="AD40" s="165">
        <v>449654.5</v>
      </c>
      <c r="AE40" s="165">
        <v>747316</v>
      </c>
      <c r="AF40" s="165">
        <v>223910.5</v>
      </c>
      <c r="AG40" s="165">
        <v>1420881</v>
      </c>
      <c r="AH40" s="140">
        <f t="shared" si="22"/>
        <v>0.31646175858499059</v>
      </c>
      <c r="AI40" s="140">
        <f t="shared" si="23"/>
        <v>0.52595256041850091</v>
      </c>
      <c r="AJ40" s="78">
        <f t="shared" si="24"/>
        <v>2917044</v>
      </c>
      <c r="AK40" s="123">
        <f t="shared" si="25"/>
        <v>0.21030039313771065</v>
      </c>
      <c r="AL40" s="123">
        <f t="shared" si="26"/>
        <v>0.50459711954979081</v>
      </c>
      <c r="AM40" s="310">
        <f t="shared" si="27"/>
        <v>0.71489751268750146</v>
      </c>
    </row>
    <row r="41" spans="1:39">
      <c r="A41" s="9">
        <v>39</v>
      </c>
      <c r="B41" s="1" t="s">
        <v>503</v>
      </c>
      <c r="C41" s="1" t="s">
        <v>504</v>
      </c>
      <c r="D41" s="1">
        <v>0</v>
      </c>
      <c r="E41" s="65" t="s">
        <v>1000</v>
      </c>
      <c r="F41" s="76"/>
      <c r="I41">
        <v>0</v>
      </c>
      <c r="J41" s="140">
        <f t="shared" si="14"/>
        <v>0</v>
      </c>
      <c r="K41" s="140">
        <f t="shared" si="15"/>
        <v>0</v>
      </c>
      <c r="L41" s="165">
        <v>2539</v>
      </c>
      <c r="M41" s="165">
        <v>3883</v>
      </c>
      <c r="N41" s="165">
        <v>4878</v>
      </c>
      <c r="O41" s="165">
        <v>11300</v>
      </c>
      <c r="P41" s="140">
        <f t="shared" si="16"/>
        <v>0.22469026548672566</v>
      </c>
      <c r="Q41" s="140">
        <f t="shared" si="17"/>
        <v>0.34362831858407078</v>
      </c>
      <c r="R41" s="165">
        <v>1125.5</v>
      </c>
      <c r="S41" s="165" t="s">
        <v>1001</v>
      </c>
      <c r="T41" s="165">
        <v>0</v>
      </c>
      <c r="U41" s="165">
        <v>1125.5</v>
      </c>
      <c r="V41" s="140">
        <f t="shared" si="18"/>
        <v>1</v>
      </c>
      <c r="W41" s="140">
        <f t="shared" si="19"/>
        <v>0</v>
      </c>
      <c r="X41" s="165">
        <v>374</v>
      </c>
      <c r="Y41" s="165" t="s">
        <v>1001</v>
      </c>
      <c r="Z41" s="165">
        <v>0</v>
      </c>
      <c r="AA41" s="165">
        <v>374</v>
      </c>
      <c r="AB41" s="140">
        <f t="shared" si="20"/>
        <v>1</v>
      </c>
      <c r="AC41" s="140">
        <f t="shared" si="21"/>
        <v>0</v>
      </c>
      <c r="AD41" s="165">
        <v>651</v>
      </c>
      <c r="AE41" s="165" t="s">
        <v>1001</v>
      </c>
      <c r="AF41" s="165">
        <v>0</v>
      </c>
      <c r="AG41" s="165">
        <v>651</v>
      </c>
      <c r="AH41" s="140">
        <f t="shared" si="22"/>
        <v>1</v>
      </c>
      <c r="AI41" s="140">
        <f t="shared" si="23"/>
        <v>0</v>
      </c>
      <c r="AJ41" s="78">
        <f t="shared" si="24"/>
        <v>13450.5</v>
      </c>
      <c r="AK41" s="123">
        <f t="shared" si="25"/>
        <v>0.34864874911713317</v>
      </c>
      <c r="AL41" s="123">
        <f t="shared" si="26"/>
        <v>0.28868815285677113</v>
      </c>
      <c r="AM41" s="310">
        <f t="shared" si="27"/>
        <v>0.63733690197390436</v>
      </c>
    </row>
    <row r="42" spans="1:39">
      <c r="A42" s="9">
        <v>40</v>
      </c>
      <c r="B42" s="1" t="s">
        <v>508</v>
      </c>
      <c r="C42" s="1" t="s">
        <v>509</v>
      </c>
      <c r="D42" s="1">
        <v>0</v>
      </c>
      <c r="E42" s="65" t="s">
        <v>1000</v>
      </c>
      <c r="F42" s="76"/>
      <c r="I42">
        <v>0</v>
      </c>
      <c r="J42" s="140">
        <f t="shared" si="14"/>
        <v>0</v>
      </c>
      <c r="K42" s="140">
        <f t="shared" si="15"/>
        <v>0</v>
      </c>
      <c r="L42" s="165">
        <v>14019</v>
      </c>
      <c r="M42" s="165">
        <v>15876</v>
      </c>
      <c r="N42" s="165">
        <v>75352</v>
      </c>
      <c r="O42" s="165">
        <v>105247</v>
      </c>
      <c r="P42" s="140">
        <f t="shared" si="16"/>
        <v>0.133200946345264</v>
      </c>
      <c r="Q42" s="140">
        <f t="shared" si="17"/>
        <v>0.15084515473125124</v>
      </c>
      <c r="R42" s="165">
        <v>10650.5</v>
      </c>
      <c r="S42" s="165">
        <v>671</v>
      </c>
      <c r="T42" s="165">
        <v>55266.5</v>
      </c>
      <c r="U42" s="165">
        <v>66588</v>
      </c>
      <c r="V42" s="140">
        <f t="shared" si="18"/>
        <v>0.15994623655913978</v>
      </c>
      <c r="W42" s="140">
        <f t="shared" si="19"/>
        <v>1.0076890731062655E-2</v>
      </c>
      <c r="X42" s="165">
        <v>0</v>
      </c>
      <c r="Y42" s="165" t="s">
        <v>1001</v>
      </c>
      <c r="Z42" s="165">
        <v>15346</v>
      </c>
      <c r="AA42" s="165">
        <v>15346</v>
      </c>
      <c r="AB42" s="140">
        <f t="shared" si="20"/>
        <v>0</v>
      </c>
      <c r="AC42" s="140">
        <f t="shared" si="21"/>
        <v>0</v>
      </c>
      <c r="AD42" s="165">
        <v>460558.5</v>
      </c>
      <c r="AE42" s="165">
        <v>883504</v>
      </c>
      <c r="AF42" s="165">
        <v>266636.5</v>
      </c>
      <c r="AG42" s="165">
        <v>1610699</v>
      </c>
      <c r="AH42" s="140">
        <f t="shared" si="22"/>
        <v>0.2859370372738792</v>
      </c>
      <c r="AI42" s="140">
        <f t="shared" si="23"/>
        <v>0.54852210127404311</v>
      </c>
      <c r="AJ42" s="78">
        <f t="shared" si="24"/>
        <v>1797880</v>
      </c>
      <c r="AK42" s="123">
        <f t="shared" si="25"/>
        <v>0.26988898035463987</v>
      </c>
      <c r="AL42" s="123">
        <f t="shared" si="26"/>
        <v>0.5006179500300354</v>
      </c>
      <c r="AM42" s="310">
        <f t="shared" si="27"/>
        <v>0.77050693038467521</v>
      </c>
    </row>
    <row r="43" spans="1:39">
      <c r="A43" s="9">
        <v>41</v>
      </c>
      <c r="B43" s="1" t="s">
        <v>513</v>
      </c>
      <c r="C43" s="1" t="s">
        <v>514</v>
      </c>
      <c r="D43" s="1">
        <v>0</v>
      </c>
      <c r="E43" s="65" t="s">
        <v>1000</v>
      </c>
      <c r="F43" s="76"/>
      <c r="I43">
        <v>0</v>
      </c>
      <c r="J43" s="140">
        <f t="shared" si="14"/>
        <v>0</v>
      </c>
      <c r="K43" s="140">
        <f t="shared" si="15"/>
        <v>0</v>
      </c>
      <c r="L43" s="165">
        <v>2489</v>
      </c>
      <c r="M43" s="165" t="s">
        <v>1001</v>
      </c>
      <c r="N43" s="165">
        <v>0</v>
      </c>
      <c r="O43" s="165">
        <v>2489</v>
      </c>
      <c r="P43" s="140">
        <f t="shared" si="16"/>
        <v>1</v>
      </c>
      <c r="Q43" s="140">
        <f t="shared" si="17"/>
        <v>0</v>
      </c>
      <c r="R43" s="165">
        <v>927.5</v>
      </c>
      <c r="S43" s="165">
        <v>15</v>
      </c>
      <c r="T43" s="165">
        <v>2</v>
      </c>
      <c r="U43" s="165">
        <v>944.5</v>
      </c>
      <c r="V43" s="140">
        <f t="shared" si="18"/>
        <v>0.98200105876124932</v>
      </c>
      <c r="W43" s="140">
        <f t="shared" si="19"/>
        <v>1.5881418740074114E-2</v>
      </c>
      <c r="X43" s="165">
        <v>1037</v>
      </c>
      <c r="Y43" s="165">
        <v>7152</v>
      </c>
      <c r="Z43" s="165">
        <v>375016.5</v>
      </c>
      <c r="AA43" s="165">
        <v>383205.5</v>
      </c>
      <c r="AB43" s="140">
        <f t="shared" si="20"/>
        <v>2.7061198234367722E-3</v>
      </c>
      <c r="AC43" s="140">
        <f t="shared" si="21"/>
        <v>1.8663615214291027E-2</v>
      </c>
      <c r="AD43" s="165">
        <v>2464</v>
      </c>
      <c r="AE43" s="165">
        <v>1172</v>
      </c>
      <c r="AF43" s="165">
        <v>8017</v>
      </c>
      <c r="AG43" s="165">
        <v>11653</v>
      </c>
      <c r="AH43" s="140">
        <f t="shared" si="22"/>
        <v>0.21144769587230755</v>
      </c>
      <c r="AI43" s="140">
        <f t="shared" si="23"/>
        <v>0.10057495923796447</v>
      </c>
      <c r="AJ43" s="78">
        <f t="shared" si="24"/>
        <v>398292</v>
      </c>
      <c r="AK43" s="123">
        <f t="shared" si="25"/>
        <v>1.7367910979884105E-2</v>
      </c>
      <c r="AL43" s="123">
        <f t="shared" si="26"/>
        <v>2.0936900565414321E-2</v>
      </c>
      <c r="AM43" s="310">
        <f t="shared" si="27"/>
        <v>3.8304811545298426E-2</v>
      </c>
    </row>
    <row r="44" spans="1:39">
      <c r="A44" s="9">
        <v>42</v>
      </c>
      <c r="B44" s="1" t="s">
        <v>518</v>
      </c>
      <c r="C44" s="1" t="s">
        <v>519</v>
      </c>
      <c r="D44" s="1">
        <v>0</v>
      </c>
      <c r="E44" s="65" t="s">
        <v>1000</v>
      </c>
      <c r="F44" s="76"/>
      <c r="I44">
        <v>0</v>
      </c>
      <c r="J44" s="140">
        <f t="shared" si="14"/>
        <v>0</v>
      </c>
      <c r="K44" s="140">
        <f t="shared" si="15"/>
        <v>0</v>
      </c>
      <c r="L44" s="165">
        <v>14184.5</v>
      </c>
      <c r="M44" s="165">
        <v>7723</v>
      </c>
      <c r="N44" s="165">
        <v>50695</v>
      </c>
      <c r="O44" s="165">
        <v>72602.5</v>
      </c>
      <c r="P44" s="140">
        <f t="shared" si="16"/>
        <v>0.19537206019076478</v>
      </c>
      <c r="Q44" s="140">
        <f t="shared" si="17"/>
        <v>0.1063737474604869</v>
      </c>
      <c r="R44" s="165">
        <v>9109.5</v>
      </c>
      <c r="S44" s="165">
        <v>4957</v>
      </c>
      <c r="T44" s="165">
        <v>0</v>
      </c>
      <c r="U44" s="165">
        <v>14066.5</v>
      </c>
      <c r="V44" s="140">
        <f t="shared" si="18"/>
        <v>0.6476024597447837</v>
      </c>
      <c r="W44" s="140">
        <f t="shared" si="19"/>
        <v>0.3523975402552163</v>
      </c>
      <c r="X44" s="165">
        <v>1835</v>
      </c>
      <c r="Y44" s="165">
        <v>13269</v>
      </c>
      <c r="Z44" s="165">
        <v>39230</v>
      </c>
      <c r="AA44" s="165">
        <v>54334</v>
      </c>
      <c r="AB44" s="140">
        <f t="shared" si="20"/>
        <v>3.377259174734052E-2</v>
      </c>
      <c r="AC44" s="140">
        <f t="shared" si="21"/>
        <v>0.2442117274634667</v>
      </c>
      <c r="AD44" s="165">
        <v>176847</v>
      </c>
      <c r="AE44" s="165">
        <v>339142</v>
      </c>
      <c r="AF44" s="165">
        <v>172814.5</v>
      </c>
      <c r="AG44" s="165">
        <v>688803.5</v>
      </c>
      <c r="AH44" s="140">
        <f t="shared" si="22"/>
        <v>0.2567452110797927</v>
      </c>
      <c r="AI44" s="140">
        <f t="shared" si="23"/>
        <v>0.49236393252937882</v>
      </c>
      <c r="AJ44" s="78">
        <f t="shared" si="24"/>
        <v>829806.5</v>
      </c>
      <c r="AK44" s="123">
        <f t="shared" si="25"/>
        <v>0.24340132307953721</v>
      </c>
      <c r="AL44" s="123">
        <f t="shared" si="26"/>
        <v>0.43997124630862738</v>
      </c>
      <c r="AM44" s="310">
        <f t="shared" si="27"/>
        <v>0.6833725693881646</v>
      </c>
    </row>
    <row r="45" spans="1:39">
      <c r="A45" s="9">
        <v>43</v>
      </c>
      <c r="B45" s="1" t="s">
        <v>523</v>
      </c>
      <c r="C45" s="1" t="s">
        <v>524</v>
      </c>
      <c r="D45" s="1">
        <v>1</v>
      </c>
      <c r="E45" s="65" t="s">
        <v>1000</v>
      </c>
      <c r="F45" s="75">
        <v>2022</v>
      </c>
      <c r="G45" s="165">
        <v>39184</v>
      </c>
      <c r="H45" s="165">
        <v>176747</v>
      </c>
      <c r="I45">
        <v>217953</v>
      </c>
      <c r="J45" s="140">
        <f t="shared" si="14"/>
        <v>9.2772294944322865E-3</v>
      </c>
      <c r="K45" s="140">
        <f t="shared" si="15"/>
        <v>0.17978187957954239</v>
      </c>
      <c r="L45" s="165">
        <v>24204.5</v>
      </c>
      <c r="M45" s="165">
        <v>50473</v>
      </c>
      <c r="N45" s="165">
        <v>223556.5</v>
      </c>
      <c r="O45" s="165">
        <v>298234</v>
      </c>
      <c r="P45" s="140">
        <f t="shared" si="16"/>
        <v>8.1159425149379349E-2</v>
      </c>
      <c r="Q45" s="140">
        <f t="shared" si="17"/>
        <v>0.16923959038875513</v>
      </c>
      <c r="R45" s="165">
        <v>47007</v>
      </c>
      <c r="S45" s="165">
        <v>32976</v>
      </c>
      <c r="T45" s="165">
        <v>37265</v>
      </c>
      <c r="U45" s="165">
        <v>117248</v>
      </c>
      <c r="V45" s="140">
        <f t="shared" si="18"/>
        <v>0.40091941866812225</v>
      </c>
      <c r="W45" s="140">
        <f t="shared" si="19"/>
        <v>0.28125</v>
      </c>
      <c r="X45" s="165">
        <v>1799.5</v>
      </c>
      <c r="Y45" s="165">
        <v>18728</v>
      </c>
      <c r="Z45" s="165">
        <v>1511531</v>
      </c>
      <c r="AA45" s="165">
        <v>1532058.5</v>
      </c>
      <c r="AB45" s="140">
        <f t="shared" si="20"/>
        <v>1.1745635039393078E-3</v>
      </c>
      <c r="AC45" s="140">
        <f t="shared" si="21"/>
        <v>1.222407629995852E-2</v>
      </c>
      <c r="AD45" s="165">
        <v>739638.5</v>
      </c>
      <c r="AE45" s="165">
        <v>1565589</v>
      </c>
      <c r="AF45" s="165">
        <v>771633</v>
      </c>
      <c r="AG45" s="165">
        <v>3076860.5</v>
      </c>
      <c r="AH45" s="140">
        <f t="shared" si="22"/>
        <v>0.24038740137877554</v>
      </c>
      <c r="AI45" s="140">
        <f t="shared" si="23"/>
        <v>0.50882677326450132</v>
      </c>
      <c r="AJ45" s="78">
        <f t="shared" si="24"/>
        <v>5242354</v>
      </c>
      <c r="AK45" s="123">
        <f t="shared" si="25"/>
        <v>0.155401848101063</v>
      </c>
      <c r="AL45" s="123">
        <f t="shared" si="26"/>
        <v>0.32560754195538877</v>
      </c>
      <c r="AM45" s="310">
        <f t="shared" si="27"/>
        <v>0.48100939005645177</v>
      </c>
    </row>
    <row r="46" spans="1:39">
      <c r="A46" s="9">
        <v>44</v>
      </c>
      <c r="B46" s="1" t="s">
        <v>528</v>
      </c>
      <c r="C46" s="1" t="s">
        <v>529</v>
      </c>
      <c r="D46" s="1">
        <v>0</v>
      </c>
      <c r="E46" s="65" t="s">
        <v>1000</v>
      </c>
      <c r="F46" s="76"/>
      <c r="I46">
        <v>0</v>
      </c>
      <c r="J46" s="140">
        <f t="shared" si="14"/>
        <v>0</v>
      </c>
      <c r="K46" s="140">
        <f t="shared" si="15"/>
        <v>0</v>
      </c>
      <c r="L46" s="165">
        <v>7666</v>
      </c>
      <c r="M46" s="165">
        <v>4043</v>
      </c>
      <c r="N46" s="165">
        <v>25871</v>
      </c>
      <c r="O46" s="165">
        <v>37580</v>
      </c>
      <c r="P46" s="140">
        <f t="shared" si="16"/>
        <v>0.20399148483235763</v>
      </c>
      <c r="Q46" s="140">
        <f t="shared" si="17"/>
        <v>0.10758382118147951</v>
      </c>
      <c r="R46" s="165">
        <v>4511</v>
      </c>
      <c r="S46" s="165" t="s">
        <v>1001</v>
      </c>
      <c r="T46" s="165">
        <v>6107</v>
      </c>
      <c r="U46" s="165">
        <v>10618</v>
      </c>
      <c r="V46" s="140">
        <f t="shared" si="18"/>
        <v>0.42484460350348463</v>
      </c>
      <c r="W46" s="140">
        <f t="shared" si="19"/>
        <v>0</v>
      </c>
      <c r="X46" s="165">
        <v>1749</v>
      </c>
      <c r="Y46" s="165">
        <v>17874</v>
      </c>
      <c r="Z46" s="165">
        <v>213465.5</v>
      </c>
      <c r="AA46" s="165">
        <v>233088.5</v>
      </c>
      <c r="AB46" s="140">
        <f t="shared" si="20"/>
        <v>7.5035876930865317E-3</v>
      </c>
      <c r="AC46" s="140">
        <f t="shared" si="21"/>
        <v>7.6683319854904897E-2</v>
      </c>
      <c r="AD46" s="165">
        <v>3778.5</v>
      </c>
      <c r="AE46" s="165">
        <v>19673</v>
      </c>
      <c r="AF46" s="165">
        <v>82480</v>
      </c>
      <c r="AG46" s="165">
        <v>105931.5</v>
      </c>
      <c r="AH46" s="140">
        <f t="shared" si="22"/>
        <v>3.5669276843998246E-2</v>
      </c>
      <c r="AI46" s="140">
        <f t="shared" si="23"/>
        <v>0.18571435314330487</v>
      </c>
      <c r="AJ46" s="78">
        <f t="shared" si="24"/>
        <v>387218</v>
      </c>
      <c r="AK46" s="123">
        <f t="shared" si="25"/>
        <v>4.5722306297744424E-2</v>
      </c>
      <c r="AL46" s="123">
        <f t="shared" si="26"/>
        <v>0.10740719697947926</v>
      </c>
      <c r="AM46" s="310">
        <f t="shared" si="27"/>
        <v>0.15312950327722369</v>
      </c>
    </row>
    <row r="47" spans="1:39">
      <c r="A47" s="9">
        <v>45</v>
      </c>
      <c r="B47" s="1" t="s">
        <v>533</v>
      </c>
      <c r="C47" s="1" t="s">
        <v>534</v>
      </c>
      <c r="D47" s="1">
        <v>0</v>
      </c>
      <c r="E47" s="65" t="s">
        <v>1000</v>
      </c>
      <c r="F47" s="76"/>
      <c r="I47">
        <v>0</v>
      </c>
      <c r="J47" s="140">
        <f t="shared" si="14"/>
        <v>0</v>
      </c>
      <c r="K47" s="140">
        <f t="shared" si="15"/>
        <v>0</v>
      </c>
      <c r="L47" s="165">
        <v>8039</v>
      </c>
      <c r="M47" s="165">
        <v>11172</v>
      </c>
      <c r="N47" s="165">
        <v>928</v>
      </c>
      <c r="O47" s="165">
        <v>20139</v>
      </c>
      <c r="P47" s="140">
        <f t="shared" si="16"/>
        <v>0.39917572868563483</v>
      </c>
      <c r="Q47" s="140">
        <f t="shared" si="17"/>
        <v>0.55474452554744524</v>
      </c>
      <c r="R47" s="165">
        <v>6750.5</v>
      </c>
      <c r="S47" s="165">
        <v>2579</v>
      </c>
      <c r="T47" s="165">
        <v>3724</v>
      </c>
      <c r="U47" s="165">
        <v>13053.5</v>
      </c>
      <c r="V47" s="140">
        <f t="shared" si="18"/>
        <v>0.51714099666756042</v>
      </c>
      <c r="W47" s="140">
        <f t="shared" si="19"/>
        <v>0.19757153253916573</v>
      </c>
      <c r="X47" s="165">
        <v>8418.5</v>
      </c>
      <c r="Y47" s="165">
        <v>69216</v>
      </c>
      <c r="Z47" s="165">
        <v>146626</v>
      </c>
      <c r="AA47" s="165">
        <v>224260.5</v>
      </c>
      <c r="AB47" s="140">
        <f t="shared" si="20"/>
        <v>3.7538933517048255E-2</v>
      </c>
      <c r="AC47" s="140">
        <f t="shared" si="21"/>
        <v>0.30864106697345273</v>
      </c>
      <c r="AD47" s="165">
        <v>1791.5</v>
      </c>
      <c r="AE47" s="165" t="s">
        <v>1001</v>
      </c>
      <c r="AF47" s="165">
        <v>0</v>
      </c>
      <c r="AG47" s="165">
        <v>1791.5</v>
      </c>
      <c r="AH47" s="140">
        <f t="shared" si="22"/>
        <v>1</v>
      </c>
      <c r="AI47" s="140">
        <f t="shared" si="23"/>
        <v>0</v>
      </c>
      <c r="AJ47" s="78">
        <f t="shared" si="24"/>
        <v>259244.5</v>
      </c>
      <c r="AK47" s="123">
        <f t="shared" si="25"/>
        <v>9.6432132600691625E-2</v>
      </c>
      <c r="AL47" s="123">
        <f t="shared" si="26"/>
        <v>0.32003379049507319</v>
      </c>
      <c r="AM47" s="310">
        <f t="shared" si="27"/>
        <v>0.4164659230957648</v>
      </c>
    </row>
    <row r="48" spans="1:39">
      <c r="A48" s="9">
        <v>46</v>
      </c>
      <c r="B48" s="1" t="s">
        <v>538</v>
      </c>
      <c r="C48" s="1" t="s">
        <v>539</v>
      </c>
      <c r="D48" s="1">
        <v>0</v>
      </c>
      <c r="E48" s="65" t="s">
        <v>1000</v>
      </c>
      <c r="F48" s="76"/>
      <c r="I48">
        <v>0</v>
      </c>
      <c r="J48" s="140">
        <f t="shared" si="14"/>
        <v>0</v>
      </c>
      <c r="K48" s="140">
        <f t="shared" si="15"/>
        <v>0</v>
      </c>
      <c r="L48" s="165">
        <v>12129</v>
      </c>
      <c r="M48" s="165">
        <v>10194</v>
      </c>
      <c r="N48" s="165">
        <v>32439</v>
      </c>
      <c r="O48" s="165">
        <v>54762</v>
      </c>
      <c r="P48" s="140">
        <f t="shared" si="16"/>
        <v>0.22148570176399693</v>
      </c>
      <c r="Q48" s="140">
        <f t="shared" si="17"/>
        <v>0.18615098060699026</v>
      </c>
      <c r="R48" s="165">
        <v>19109.5</v>
      </c>
      <c r="S48" s="165">
        <v>18423</v>
      </c>
      <c r="T48" s="165">
        <v>24626.5</v>
      </c>
      <c r="U48" s="165">
        <v>62159</v>
      </c>
      <c r="V48" s="140">
        <f t="shared" si="18"/>
        <v>0.30742933444875237</v>
      </c>
      <c r="W48" s="140">
        <f t="shared" si="19"/>
        <v>0.29638507698000288</v>
      </c>
      <c r="X48" s="165">
        <v>6326</v>
      </c>
      <c r="Y48" s="165">
        <v>71703</v>
      </c>
      <c r="Z48" s="165">
        <v>116785.5</v>
      </c>
      <c r="AA48" s="165">
        <v>194814.5</v>
      </c>
      <c r="AB48" s="140">
        <f t="shared" si="20"/>
        <v>3.2471915591498576E-2</v>
      </c>
      <c r="AC48" s="140">
        <f t="shared" si="21"/>
        <v>0.36805781910484076</v>
      </c>
      <c r="AD48" s="165">
        <v>461693</v>
      </c>
      <c r="AE48" s="165">
        <v>736289</v>
      </c>
      <c r="AF48" s="165">
        <v>106358</v>
      </c>
      <c r="AG48" s="165">
        <v>1304340</v>
      </c>
      <c r="AH48" s="140">
        <f t="shared" si="22"/>
        <v>0.35396675713387615</v>
      </c>
      <c r="AI48" s="140">
        <f t="shared" si="23"/>
        <v>0.564491620283055</v>
      </c>
      <c r="AJ48" s="78">
        <f t="shared" si="24"/>
        <v>1616075.5</v>
      </c>
      <c r="AK48" s="123">
        <f t="shared" si="25"/>
        <v>0.30893203937563563</v>
      </c>
      <c r="AL48" s="123">
        <f t="shared" si="26"/>
        <v>0.51767940297343784</v>
      </c>
      <c r="AM48" s="310">
        <f t="shared" si="27"/>
        <v>0.82661144234907347</v>
      </c>
    </row>
    <row r="49" spans="1:39">
      <c r="A49" s="9">
        <v>47</v>
      </c>
      <c r="B49" s="1" t="s">
        <v>543</v>
      </c>
      <c r="C49" s="1" t="s">
        <v>544</v>
      </c>
      <c r="D49" s="1">
        <v>0</v>
      </c>
      <c r="E49" s="65" t="s">
        <v>1000</v>
      </c>
      <c r="F49" s="76"/>
      <c r="I49">
        <v>0</v>
      </c>
      <c r="J49" s="140">
        <f t="shared" si="14"/>
        <v>0</v>
      </c>
      <c r="K49" s="140">
        <f t="shared" si="15"/>
        <v>0</v>
      </c>
      <c r="L49" s="165">
        <v>16805</v>
      </c>
      <c r="M49" s="165">
        <v>39712</v>
      </c>
      <c r="N49" s="165">
        <v>699863</v>
      </c>
      <c r="O49" s="165">
        <v>756380</v>
      </c>
      <c r="P49" s="140">
        <f t="shared" si="16"/>
        <v>2.2217668367751658E-2</v>
      </c>
      <c r="Q49" s="140">
        <f t="shared" si="17"/>
        <v>5.2502710277902639E-2</v>
      </c>
      <c r="R49" s="165">
        <v>42585</v>
      </c>
      <c r="S49" s="165">
        <v>250233</v>
      </c>
      <c r="T49" s="165">
        <v>1183137.5</v>
      </c>
      <c r="U49" s="165">
        <v>1475955.5</v>
      </c>
      <c r="V49" s="140">
        <f t="shared" si="18"/>
        <v>2.8852495891644431E-2</v>
      </c>
      <c r="W49" s="140">
        <f t="shared" si="19"/>
        <v>0.16953966430559728</v>
      </c>
      <c r="X49" s="165">
        <v>667.5</v>
      </c>
      <c r="Y49" s="165">
        <v>22646</v>
      </c>
      <c r="Z49" s="165">
        <v>660222</v>
      </c>
      <c r="AA49" s="165">
        <v>683535.5</v>
      </c>
      <c r="AB49" s="140">
        <f t="shared" si="20"/>
        <v>9.7654035525587184E-4</v>
      </c>
      <c r="AC49" s="140">
        <f t="shared" si="21"/>
        <v>3.3130685970223929E-2</v>
      </c>
      <c r="AD49" s="165">
        <v>14501</v>
      </c>
      <c r="AE49" s="165">
        <v>28699</v>
      </c>
      <c r="AF49" s="165">
        <v>135165</v>
      </c>
      <c r="AG49" s="165">
        <v>178365</v>
      </c>
      <c r="AH49" s="140">
        <f t="shared" si="22"/>
        <v>8.1299582317158642E-2</v>
      </c>
      <c r="AI49" s="140">
        <f t="shared" si="23"/>
        <v>0.1609004008633981</v>
      </c>
      <c r="AJ49" s="78">
        <f t="shared" si="24"/>
        <v>3094236</v>
      </c>
      <c r="AK49" s="123">
        <f t="shared" si="25"/>
        <v>2.4095931919866486E-2</v>
      </c>
      <c r="AL49" s="123">
        <f t="shared" si="26"/>
        <v>0.11029863268347986</v>
      </c>
      <c r="AM49" s="310">
        <f t="shared" si="27"/>
        <v>0.13439456460334634</v>
      </c>
    </row>
    <row r="50" spans="1:39">
      <c r="A50" s="9">
        <v>48</v>
      </c>
      <c r="B50" s="1" t="s">
        <v>548</v>
      </c>
      <c r="C50" s="1" t="s">
        <v>549</v>
      </c>
      <c r="D50" s="1">
        <v>1</v>
      </c>
      <c r="E50" s="65" t="s">
        <v>1000</v>
      </c>
      <c r="F50" s="76"/>
      <c r="I50">
        <v>0</v>
      </c>
      <c r="J50" s="140">
        <f t="shared" si="14"/>
        <v>0</v>
      </c>
      <c r="K50" s="140">
        <f t="shared" si="15"/>
        <v>0</v>
      </c>
      <c r="L50" s="165">
        <v>6475.5</v>
      </c>
      <c r="M50" s="165">
        <v>3838</v>
      </c>
      <c r="N50" s="165">
        <v>0</v>
      </c>
      <c r="O50" s="165">
        <v>10313.5</v>
      </c>
      <c r="P50" s="140">
        <f t="shared" si="16"/>
        <v>0.62786638871382172</v>
      </c>
      <c r="Q50" s="140">
        <f t="shared" si="17"/>
        <v>0.37213361128617833</v>
      </c>
      <c r="R50" s="165">
        <v>12693</v>
      </c>
      <c r="S50" s="165">
        <v>21</v>
      </c>
      <c r="T50" s="165">
        <v>13838</v>
      </c>
      <c r="U50" s="165">
        <v>26552</v>
      </c>
      <c r="V50" s="140">
        <f t="shared" si="18"/>
        <v>0.47804308526664657</v>
      </c>
      <c r="W50" s="140">
        <f t="shared" si="19"/>
        <v>7.909008737571558E-4</v>
      </c>
      <c r="X50" s="165">
        <v>1734</v>
      </c>
      <c r="Y50" s="165">
        <v>8441</v>
      </c>
      <c r="Z50" s="165">
        <v>7029</v>
      </c>
      <c r="AA50" s="165">
        <v>17204</v>
      </c>
      <c r="AB50" s="140">
        <f t="shared" si="20"/>
        <v>0.1007905138339921</v>
      </c>
      <c r="AC50" s="140">
        <f t="shared" si="21"/>
        <v>0.49064171122994654</v>
      </c>
      <c r="AD50" s="165">
        <v>125033</v>
      </c>
      <c r="AE50" s="165">
        <v>148263</v>
      </c>
      <c r="AF50" s="165">
        <v>0</v>
      </c>
      <c r="AG50" s="165">
        <v>273296</v>
      </c>
      <c r="AH50" s="140">
        <f t="shared" si="22"/>
        <v>0.45750029272290849</v>
      </c>
      <c r="AI50" s="140">
        <f t="shared" si="23"/>
        <v>0.54249970727709151</v>
      </c>
      <c r="AJ50" s="78">
        <f t="shared" si="24"/>
        <v>327365.5</v>
      </c>
      <c r="AK50" s="123">
        <f t="shared" si="25"/>
        <v>0.44578765935933995</v>
      </c>
      <c r="AL50" s="123">
        <f t="shared" si="26"/>
        <v>0.49047013200841261</v>
      </c>
      <c r="AM50" s="310">
        <f t="shared" si="27"/>
        <v>0.93625779136775256</v>
      </c>
    </row>
    <row r="51" spans="1:39">
      <c r="A51" s="9">
        <v>49</v>
      </c>
      <c r="B51" s="1" t="s">
        <v>553</v>
      </c>
      <c r="C51" s="1" t="s">
        <v>554</v>
      </c>
      <c r="D51" s="1">
        <v>0</v>
      </c>
      <c r="E51" s="65" t="s">
        <v>1000</v>
      </c>
      <c r="F51" s="76"/>
      <c r="I51">
        <v>0</v>
      </c>
      <c r="J51" s="140">
        <f t="shared" si="14"/>
        <v>0</v>
      </c>
      <c r="K51" s="140">
        <f t="shared" si="15"/>
        <v>0</v>
      </c>
      <c r="L51" s="165">
        <v>29467</v>
      </c>
      <c r="M51" s="165">
        <v>62353</v>
      </c>
      <c r="N51" s="165">
        <v>261352</v>
      </c>
      <c r="O51" s="165">
        <v>353172</v>
      </c>
      <c r="P51" s="140">
        <f t="shared" si="16"/>
        <v>8.3435266668931848E-2</v>
      </c>
      <c r="Q51" s="140">
        <f t="shared" si="17"/>
        <v>0.17655136873817856</v>
      </c>
      <c r="R51" s="165">
        <v>25279</v>
      </c>
      <c r="S51" s="165">
        <v>48159</v>
      </c>
      <c r="T51" s="165">
        <v>72561</v>
      </c>
      <c r="U51" s="165">
        <v>145999</v>
      </c>
      <c r="V51" s="140">
        <f t="shared" si="18"/>
        <v>0.17314502154124342</v>
      </c>
      <c r="W51" s="140">
        <f t="shared" si="19"/>
        <v>0.32985842368783347</v>
      </c>
      <c r="X51" s="165">
        <v>124034.5</v>
      </c>
      <c r="Y51" s="165">
        <v>800977</v>
      </c>
      <c r="Z51" s="165">
        <v>2490536</v>
      </c>
      <c r="AA51" s="165">
        <v>3415547.5</v>
      </c>
      <c r="AB51" s="140">
        <f t="shared" si="20"/>
        <v>3.6314675758425258E-2</v>
      </c>
      <c r="AC51" s="140">
        <f t="shared" si="21"/>
        <v>0.23450910871536701</v>
      </c>
      <c r="AD51" s="165">
        <v>109872.5</v>
      </c>
      <c r="AE51" s="165">
        <v>76781</v>
      </c>
      <c r="AF51" s="165">
        <v>229068</v>
      </c>
      <c r="AG51" s="165">
        <v>415721.5</v>
      </c>
      <c r="AH51" s="140">
        <f t="shared" si="22"/>
        <v>0.26429352342854529</v>
      </c>
      <c r="AI51" s="140">
        <f t="shared" si="23"/>
        <v>0.18469335841422682</v>
      </c>
      <c r="AJ51" s="78">
        <f t="shared" si="24"/>
        <v>4330440</v>
      </c>
      <c r="AK51" s="123">
        <f t="shared" si="25"/>
        <v>6.6656736959754673E-2</v>
      </c>
      <c r="AL51" s="123">
        <f t="shared" si="26"/>
        <v>0.22821468488190577</v>
      </c>
      <c r="AM51" s="310">
        <f t="shared" si="27"/>
        <v>0.29487142184166043</v>
      </c>
    </row>
    <row r="52" spans="1:39">
      <c r="A52" s="13">
        <v>50</v>
      </c>
      <c r="B52" s="14" t="s">
        <v>558</v>
      </c>
      <c r="C52" s="14" t="s">
        <v>559</v>
      </c>
      <c r="D52" s="14">
        <v>0</v>
      </c>
      <c r="E52" s="111" t="s">
        <v>1000</v>
      </c>
      <c r="F52" s="166"/>
      <c r="G52" s="133"/>
      <c r="H52" s="167"/>
      <c r="I52" s="133">
        <v>0</v>
      </c>
      <c r="J52" s="141">
        <f t="shared" si="14"/>
        <v>0</v>
      </c>
      <c r="K52" s="141">
        <f t="shared" si="15"/>
        <v>0</v>
      </c>
      <c r="L52" s="167">
        <v>800</v>
      </c>
      <c r="M52" s="167" t="s">
        <v>1001</v>
      </c>
      <c r="N52" s="167">
        <v>0</v>
      </c>
      <c r="O52" s="167">
        <v>800</v>
      </c>
      <c r="P52" s="141">
        <f t="shared" si="16"/>
        <v>1</v>
      </c>
      <c r="Q52" s="141">
        <f t="shared" si="17"/>
        <v>0</v>
      </c>
      <c r="R52" s="167">
        <v>286.5</v>
      </c>
      <c r="S52" s="167" t="s">
        <v>1002</v>
      </c>
      <c r="T52" s="167">
        <v>0</v>
      </c>
      <c r="U52" s="167">
        <v>286.5</v>
      </c>
      <c r="V52" s="141">
        <f t="shared" si="18"/>
        <v>1</v>
      </c>
      <c r="W52" s="141">
        <f t="shared" si="19"/>
        <v>0</v>
      </c>
      <c r="X52" s="167">
        <v>606</v>
      </c>
      <c r="Y52" s="167" t="s">
        <v>1001</v>
      </c>
      <c r="Z52" s="167">
        <v>0</v>
      </c>
      <c r="AA52" s="167">
        <v>606</v>
      </c>
      <c r="AB52" s="141">
        <f t="shared" si="20"/>
        <v>1</v>
      </c>
      <c r="AC52" s="141">
        <f t="shared" si="21"/>
        <v>0</v>
      </c>
      <c r="AD52" s="167">
        <v>583.5</v>
      </c>
      <c r="AE52" s="167" t="s">
        <v>1001</v>
      </c>
      <c r="AF52" s="167">
        <v>0</v>
      </c>
      <c r="AG52" s="167">
        <v>583.5</v>
      </c>
      <c r="AH52" s="141">
        <f t="shared" si="22"/>
        <v>1</v>
      </c>
      <c r="AI52" s="141">
        <f t="shared" si="23"/>
        <v>0</v>
      </c>
      <c r="AJ52" s="168">
        <f t="shared" si="24"/>
        <v>2276</v>
      </c>
      <c r="AK52" s="125">
        <f t="shared" si="25"/>
        <v>1</v>
      </c>
      <c r="AL52" s="125">
        <f t="shared" si="26"/>
        <v>0</v>
      </c>
      <c r="AM52" s="311">
        <f t="shared" si="27"/>
        <v>1</v>
      </c>
    </row>
    <row r="53" spans="1:39" s="26" customFormat="1">
      <c r="A53" s="4"/>
      <c r="B53" s="4"/>
      <c r="C53" s="4"/>
      <c r="D53" s="4"/>
      <c r="E53" s="4"/>
    </row>
    <row r="54" spans="1:39" s="26" customFormat="1">
      <c r="A54" s="4"/>
      <c r="B54" s="4"/>
      <c r="C54" s="4"/>
      <c r="D54" s="4"/>
      <c r="E54" s="4"/>
    </row>
    <row r="55" spans="1:39" s="26" customFormat="1">
      <c r="A55" s="4"/>
      <c r="B55" s="4"/>
      <c r="C55" s="4"/>
      <c r="D55" s="4"/>
      <c r="E55" s="4"/>
    </row>
    <row r="56" spans="1:39" s="26" customFormat="1">
      <c r="A56" s="4"/>
      <c r="B56" s="4"/>
      <c r="C56" s="4"/>
      <c r="D56" s="4"/>
      <c r="E56" s="4"/>
    </row>
    <row r="57" spans="1:39" s="26" customFormat="1">
      <c r="A57" s="4"/>
      <c r="B57" s="4"/>
      <c r="C57" s="4"/>
      <c r="D57" s="4"/>
      <c r="E57" s="4"/>
    </row>
    <row r="58" spans="1:39" s="26" customFormat="1">
      <c r="A58" s="4"/>
      <c r="B58" s="4"/>
      <c r="C58" s="4"/>
      <c r="D58" s="4"/>
      <c r="E58" s="4"/>
    </row>
    <row r="59" spans="1:39" s="26" customFormat="1">
      <c r="A59" s="4"/>
      <c r="B59" s="4"/>
      <c r="C59" s="4"/>
      <c r="D59" s="4"/>
      <c r="E59" s="4"/>
    </row>
    <row r="60" spans="1:39" s="26" customFormat="1">
      <c r="A60" s="4"/>
      <c r="B60" s="4"/>
      <c r="C60" s="4"/>
      <c r="D60" s="4"/>
      <c r="E60" s="4"/>
    </row>
    <row r="61" spans="1:39" s="26" customFormat="1">
      <c r="A61" s="4"/>
      <c r="B61" s="4"/>
      <c r="C61" s="4"/>
      <c r="D61" s="4"/>
      <c r="E61" s="4"/>
    </row>
    <row r="62" spans="1:39" s="26" customFormat="1">
      <c r="A62" s="4"/>
      <c r="B62" s="4"/>
      <c r="C62" s="4"/>
      <c r="D62" s="4"/>
      <c r="E62" s="4"/>
    </row>
    <row r="63" spans="1:39" s="26" customFormat="1">
      <c r="A63" s="4"/>
      <c r="B63" s="4"/>
      <c r="C63" s="4"/>
      <c r="D63" s="4"/>
      <c r="E63" s="4"/>
    </row>
    <row r="64" spans="1:39" s="26" customFormat="1">
      <c r="A64" s="4"/>
      <c r="B64" s="4"/>
      <c r="C64" s="4"/>
      <c r="D64" s="4"/>
      <c r="E64" s="4"/>
    </row>
    <row r="65" spans="1:5" s="26" customFormat="1">
      <c r="A65" s="4"/>
      <c r="B65" s="4"/>
      <c r="C65" s="4"/>
      <c r="D65" s="4"/>
      <c r="E65" s="4"/>
    </row>
    <row r="66" spans="1:5" s="26" customFormat="1">
      <c r="A66" s="4"/>
      <c r="B66" s="4"/>
      <c r="C66" s="4"/>
      <c r="D66" s="4"/>
      <c r="E66" s="4"/>
    </row>
    <row r="67" spans="1:5" s="26" customFormat="1">
      <c r="A67" s="4"/>
      <c r="B67" s="4"/>
      <c r="C67" s="4"/>
      <c r="D67" s="4"/>
      <c r="E67" s="4"/>
    </row>
    <row r="68" spans="1:5" s="26" customFormat="1">
      <c r="A68" s="4"/>
      <c r="B68" s="4"/>
      <c r="C68" s="4"/>
      <c r="D68" s="4"/>
      <c r="E68" s="4"/>
    </row>
    <row r="69" spans="1:5" s="26" customFormat="1">
      <c r="A69" s="4"/>
      <c r="B69" s="4"/>
      <c r="C69" s="4"/>
      <c r="D69" s="4"/>
      <c r="E69" s="4"/>
    </row>
    <row r="70" spans="1:5" s="26" customFormat="1">
      <c r="A70" s="4"/>
      <c r="B70" s="4"/>
      <c r="C70" s="4"/>
      <c r="D70" s="4"/>
      <c r="E70" s="4"/>
    </row>
    <row r="71" spans="1:5" s="26" customFormat="1">
      <c r="A71" s="4"/>
      <c r="B71" s="4"/>
      <c r="C71" s="4"/>
      <c r="D71" s="4"/>
      <c r="E71" s="4"/>
    </row>
    <row r="72" spans="1:5" s="26" customFormat="1">
      <c r="A72" s="4"/>
      <c r="B72" s="4"/>
      <c r="C72" s="4"/>
      <c r="D72" s="4"/>
      <c r="E72" s="4"/>
    </row>
    <row r="73" spans="1:5" s="26" customFormat="1">
      <c r="A73" s="4"/>
      <c r="B73" s="4"/>
      <c r="C73" s="4"/>
      <c r="D73" s="4"/>
      <c r="E73" s="4"/>
    </row>
    <row r="74" spans="1:5" s="26" customFormat="1">
      <c r="A74" s="4"/>
      <c r="B74" s="4"/>
      <c r="C74" s="4"/>
      <c r="D74" s="4"/>
      <c r="E74" s="4"/>
    </row>
    <row r="75" spans="1:5" s="26" customFormat="1">
      <c r="A75" s="4"/>
      <c r="B75" s="4"/>
      <c r="C75" s="4"/>
      <c r="D75" s="4"/>
      <c r="E75" s="4"/>
    </row>
    <row r="76" spans="1:5" s="26" customFormat="1">
      <c r="A76" s="4"/>
      <c r="B76" s="4"/>
      <c r="C76" s="4"/>
      <c r="D76" s="4"/>
      <c r="E76" s="4"/>
    </row>
    <row r="77" spans="1:5" s="26" customFormat="1">
      <c r="A77" s="4"/>
      <c r="B77" s="4"/>
      <c r="C77" s="4"/>
      <c r="D77" s="4"/>
      <c r="E77" s="4"/>
    </row>
    <row r="78" spans="1:5" s="26" customFormat="1">
      <c r="A78" s="4"/>
      <c r="B78" s="4"/>
      <c r="C78" s="4"/>
      <c r="D78" s="4"/>
      <c r="E78" s="4"/>
    </row>
    <row r="79" spans="1:5" s="26" customFormat="1">
      <c r="A79" s="4"/>
      <c r="B79" s="4"/>
      <c r="C79" s="4"/>
      <c r="D79" s="4"/>
      <c r="E79" s="4"/>
    </row>
    <row r="80" spans="1:5" s="26" customFormat="1">
      <c r="A80" s="4"/>
      <c r="B80" s="4"/>
      <c r="C80" s="4"/>
      <c r="D80" s="4"/>
      <c r="E80" s="4"/>
    </row>
    <row r="81" spans="1:5" s="26" customFormat="1">
      <c r="A81" s="4"/>
      <c r="B81" s="4"/>
      <c r="C81" s="4"/>
      <c r="D81" s="4"/>
      <c r="E81" s="4"/>
    </row>
    <row r="82" spans="1:5" s="26" customFormat="1">
      <c r="A82" s="4"/>
      <c r="B82" s="4"/>
      <c r="C82" s="4"/>
      <c r="D82" s="4"/>
      <c r="E82" s="4"/>
    </row>
    <row r="83" spans="1:5" s="26" customFormat="1">
      <c r="A83" s="4"/>
      <c r="B83" s="4"/>
      <c r="C83" s="4"/>
      <c r="D83" s="4"/>
      <c r="E83" s="4"/>
    </row>
    <row r="84" spans="1:5" s="26" customFormat="1">
      <c r="A84" s="4"/>
      <c r="B84" s="4"/>
      <c r="C84" s="4"/>
      <c r="D84" s="4"/>
      <c r="E84" s="4"/>
    </row>
    <row r="85" spans="1:5" s="26" customFormat="1">
      <c r="A85" s="4"/>
      <c r="B85" s="4"/>
      <c r="C85" s="4"/>
      <c r="D85" s="4"/>
      <c r="E85" s="4"/>
    </row>
    <row r="86" spans="1:5" s="26" customFormat="1">
      <c r="A86" s="4"/>
      <c r="B86" s="4"/>
      <c r="C86" s="4"/>
      <c r="D86" s="4"/>
      <c r="E86" s="4"/>
    </row>
    <row r="87" spans="1:5" s="26" customFormat="1">
      <c r="A87" s="4"/>
      <c r="B87" s="4"/>
      <c r="C87" s="4"/>
      <c r="D87" s="4"/>
      <c r="E87" s="4"/>
    </row>
    <row r="88" spans="1:5" s="26" customFormat="1">
      <c r="A88" s="4"/>
      <c r="B88" s="4"/>
      <c r="C88" s="4"/>
      <c r="D88" s="4"/>
      <c r="E88" s="4"/>
    </row>
    <row r="89" spans="1:5" s="26" customFormat="1">
      <c r="A89" s="4"/>
      <c r="B89" s="4"/>
      <c r="C89" s="4"/>
      <c r="D89" s="4"/>
      <c r="E89" s="4"/>
    </row>
    <row r="90" spans="1:5" s="26" customFormat="1">
      <c r="A90" s="4"/>
      <c r="B90" s="4"/>
      <c r="C90" s="4"/>
      <c r="D90" s="4"/>
      <c r="E90" s="4"/>
    </row>
    <row r="91" spans="1:5" s="26" customFormat="1">
      <c r="A91" s="4"/>
      <c r="B91" s="4"/>
      <c r="C91" s="4"/>
      <c r="D91" s="4"/>
      <c r="E91" s="4"/>
    </row>
    <row r="92" spans="1:5" s="26" customFormat="1">
      <c r="A92" s="4"/>
      <c r="B92" s="4"/>
      <c r="C92" s="4"/>
      <c r="D92" s="4"/>
      <c r="E92" s="4"/>
    </row>
    <row r="93" spans="1:5" s="26" customFormat="1">
      <c r="A93" s="4"/>
      <c r="B93" s="4"/>
      <c r="C93" s="4"/>
      <c r="D93" s="4"/>
      <c r="E93" s="4"/>
    </row>
    <row r="94" spans="1:5" s="26" customFormat="1">
      <c r="A94" s="4"/>
      <c r="B94" s="4"/>
      <c r="C94" s="4"/>
      <c r="D94" s="4"/>
      <c r="E94" s="4"/>
    </row>
    <row r="95" spans="1:5" s="26" customFormat="1">
      <c r="A95" s="4"/>
      <c r="B95" s="4"/>
      <c r="C95" s="4"/>
      <c r="D95" s="4"/>
      <c r="E95" s="4"/>
    </row>
    <row r="96" spans="1:5" s="26" customFormat="1">
      <c r="A96" s="4"/>
      <c r="B96" s="4"/>
      <c r="C96" s="4"/>
      <c r="D96" s="4"/>
      <c r="E96" s="4"/>
    </row>
    <row r="97" spans="1:5" s="26" customFormat="1">
      <c r="A97" s="4"/>
      <c r="B97" s="4"/>
      <c r="C97" s="4"/>
      <c r="D97" s="4"/>
      <c r="E97" s="4"/>
    </row>
    <row r="98" spans="1:5" s="26" customFormat="1">
      <c r="A98" s="4"/>
      <c r="B98" s="4"/>
      <c r="C98" s="4"/>
      <c r="D98" s="4"/>
      <c r="E98" s="4"/>
    </row>
    <row r="99" spans="1:5" s="26" customFormat="1">
      <c r="A99" s="4"/>
      <c r="B99" s="4"/>
      <c r="C99" s="4"/>
      <c r="D99" s="4"/>
      <c r="E99" s="4"/>
    </row>
    <row r="100" spans="1:5" s="26" customFormat="1">
      <c r="A100" s="4"/>
      <c r="B100" s="4"/>
      <c r="C100" s="4"/>
      <c r="D100" s="4"/>
      <c r="E100" s="4"/>
    </row>
    <row r="101" spans="1:5" s="26" customFormat="1">
      <c r="A101" s="4"/>
      <c r="B101" s="4"/>
      <c r="C101" s="4"/>
      <c r="D101" s="4"/>
      <c r="E101" s="4"/>
    </row>
    <row r="102" spans="1:5" s="26" customFormat="1">
      <c r="A102" s="4"/>
      <c r="B102" s="4"/>
      <c r="C102" s="4"/>
      <c r="D102" s="4"/>
      <c r="E102" s="4"/>
    </row>
    <row r="103" spans="1:5" s="26" customFormat="1">
      <c r="A103" s="4"/>
      <c r="B103" s="4"/>
      <c r="C103" s="4"/>
      <c r="D103" s="4"/>
      <c r="E103" s="4"/>
    </row>
    <row r="104" spans="1:5" s="26" customFormat="1">
      <c r="A104" s="4"/>
      <c r="B104" s="4"/>
      <c r="C104" s="4"/>
      <c r="D104" s="4"/>
      <c r="E104" s="4"/>
    </row>
    <row r="105" spans="1:5" s="26" customFormat="1">
      <c r="A105" s="4"/>
      <c r="B105" s="4"/>
      <c r="C105" s="4"/>
      <c r="D105" s="4"/>
      <c r="E105" s="4"/>
    </row>
    <row r="106" spans="1:5" s="26" customFormat="1">
      <c r="A106" s="4"/>
      <c r="B106" s="4"/>
      <c r="C106" s="4"/>
      <c r="D106" s="4"/>
      <c r="E106" s="4"/>
    </row>
    <row r="107" spans="1:5" s="26" customFormat="1">
      <c r="A107" s="4"/>
      <c r="B107" s="4"/>
      <c r="C107" s="4"/>
      <c r="D107" s="4"/>
      <c r="E107" s="4"/>
    </row>
    <row r="108" spans="1:5" s="26" customFormat="1">
      <c r="A108" s="4"/>
      <c r="B108" s="4"/>
      <c r="C108" s="4"/>
      <c r="D108" s="4"/>
      <c r="E108" s="4"/>
    </row>
    <row r="109" spans="1:5" s="26" customFormat="1">
      <c r="A109" s="4"/>
      <c r="B109" s="4"/>
      <c r="C109" s="4"/>
      <c r="D109" s="4"/>
      <c r="E109" s="4"/>
    </row>
    <row r="110" spans="1:5" s="26" customFormat="1">
      <c r="A110" s="4"/>
      <c r="B110" s="4"/>
      <c r="C110" s="4"/>
      <c r="D110" s="4"/>
      <c r="E110" s="4"/>
    </row>
    <row r="111" spans="1:5" s="26" customFormat="1">
      <c r="A111" s="4"/>
      <c r="B111" s="4"/>
      <c r="C111" s="4"/>
      <c r="D111" s="4"/>
      <c r="E111" s="4"/>
    </row>
    <row r="112" spans="1:5" s="26" customFormat="1">
      <c r="A112" s="4"/>
      <c r="B112" s="4"/>
      <c r="C112" s="4"/>
      <c r="D112" s="4"/>
      <c r="E112" s="4"/>
    </row>
    <row r="113" spans="1:5" s="26" customFormat="1">
      <c r="A113" s="4"/>
      <c r="B113" s="4"/>
      <c r="C113" s="4"/>
      <c r="D113" s="4"/>
      <c r="E113" s="4"/>
    </row>
    <row r="114" spans="1:5" s="26" customFormat="1">
      <c r="A114" s="4"/>
      <c r="B114" s="4"/>
      <c r="C114" s="4"/>
      <c r="D114" s="4"/>
      <c r="E114" s="4"/>
    </row>
    <row r="115" spans="1:5" s="26" customFormat="1">
      <c r="A115" s="4"/>
      <c r="B115" s="4"/>
      <c r="C115" s="4"/>
      <c r="D115" s="4"/>
      <c r="E115" s="4"/>
    </row>
    <row r="116" spans="1:5" s="26" customFormat="1">
      <c r="A116" s="4"/>
      <c r="B116" s="4"/>
      <c r="C116" s="4"/>
      <c r="D116" s="4"/>
      <c r="E116" s="4"/>
    </row>
    <row r="117" spans="1:5" s="26" customFormat="1">
      <c r="A117" s="4"/>
      <c r="B117" s="4"/>
      <c r="C117" s="4"/>
      <c r="D117" s="4"/>
      <c r="E117" s="4"/>
    </row>
    <row r="118" spans="1:5" s="26" customFormat="1">
      <c r="A118" s="4"/>
      <c r="B118" s="4"/>
      <c r="C118" s="4"/>
      <c r="D118" s="4"/>
      <c r="E118" s="4"/>
    </row>
    <row r="119" spans="1:5" s="26" customFormat="1">
      <c r="A119" s="4"/>
      <c r="B119" s="4"/>
      <c r="C119" s="4"/>
      <c r="D119" s="4"/>
      <c r="E119" s="4"/>
    </row>
    <row r="120" spans="1:5" s="26" customFormat="1">
      <c r="A120" s="4"/>
      <c r="B120" s="4"/>
      <c r="C120" s="4"/>
      <c r="D120" s="4"/>
      <c r="E120" s="4"/>
    </row>
    <row r="121" spans="1:5" s="26" customFormat="1">
      <c r="A121" s="4"/>
      <c r="B121" s="4"/>
      <c r="C121" s="4"/>
      <c r="D121" s="4"/>
      <c r="E121" s="4"/>
    </row>
    <row r="122" spans="1:5" s="26" customFormat="1">
      <c r="A122" s="4"/>
      <c r="B122" s="4"/>
      <c r="C122" s="4"/>
      <c r="D122" s="4"/>
      <c r="E122" s="4"/>
    </row>
    <row r="123" spans="1:5" s="26" customFormat="1">
      <c r="A123" s="4"/>
      <c r="B123" s="4"/>
      <c r="C123" s="4"/>
      <c r="D123" s="4"/>
      <c r="E123" s="4"/>
    </row>
    <row r="124" spans="1:5" s="26" customFormat="1">
      <c r="A124" s="4"/>
      <c r="B124" s="4"/>
      <c r="C124" s="4"/>
      <c r="D124" s="4"/>
      <c r="E124" s="4"/>
    </row>
    <row r="125" spans="1:5" s="26" customFormat="1">
      <c r="A125" s="4"/>
      <c r="B125" s="4"/>
      <c r="C125" s="4"/>
      <c r="D125" s="4"/>
      <c r="E125" s="4"/>
    </row>
    <row r="126" spans="1:5" s="26" customFormat="1">
      <c r="A126" s="4"/>
      <c r="B126" s="4"/>
      <c r="C126" s="4"/>
      <c r="D126" s="4"/>
      <c r="E126" s="4"/>
    </row>
    <row r="127" spans="1:5" s="26" customFormat="1">
      <c r="A127" s="4"/>
      <c r="B127" s="4"/>
      <c r="C127" s="4"/>
      <c r="D127" s="4"/>
      <c r="E127" s="4"/>
    </row>
    <row r="128" spans="1:5" s="26" customFormat="1">
      <c r="A128" s="4"/>
      <c r="B128" s="4"/>
      <c r="C128" s="4"/>
      <c r="D128" s="4"/>
      <c r="E128" s="4"/>
    </row>
    <row r="129" spans="1:5" s="26" customFormat="1">
      <c r="A129" s="4"/>
      <c r="B129" s="4"/>
      <c r="C129" s="4"/>
      <c r="D129" s="4"/>
      <c r="E129" s="4"/>
    </row>
    <row r="130" spans="1:5" s="26" customFormat="1">
      <c r="A130" s="4"/>
      <c r="B130" s="4"/>
      <c r="C130" s="4"/>
      <c r="D130" s="4"/>
      <c r="E130" s="4"/>
    </row>
    <row r="131" spans="1:5" s="26" customFormat="1">
      <c r="A131" s="4"/>
      <c r="B131" s="4"/>
      <c r="C131" s="4"/>
      <c r="D131" s="4"/>
      <c r="E131" s="4"/>
    </row>
    <row r="132" spans="1:5" s="26" customFormat="1">
      <c r="A132" s="4"/>
      <c r="B132" s="4"/>
      <c r="C132" s="4"/>
      <c r="D132" s="4"/>
      <c r="E132" s="4"/>
    </row>
    <row r="133" spans="1:5" s="26" customFormat="1">
      <c r="A133" s="4"/>
      <c r="B133" s="4"/>
      <c r="C133" s="4"/>
      <c r="D133" s="4"/>
      <c r="E133" s="4"/>
    </row>
    <row r="134" spans="1:5" s="26" customFormat="1">
      <c r="A134" s="4"/>
      <c r="B134" s="4"/>
      <c r="C134" s="4"/>
      <c r="D134" s="4"/>
      <c r="E134" s="4"/>
    </row>
    <row r="135" spans="1:5" s="26" customFormat="1">
      <c r="A135" s="4"/>
      <c r="B135" s="4"/>
      <c r="C135" s="4"/>
      <c r="D135" s="4"/>
      <c r="E135" s="4"/>
    </row>
    <row r="136" spans="1:5" s="26" customFormat="1">
      <c r="A136" s="4"/>
      <c r="B136" s="4"/>
      <c r="C136" s="4"/>
      <c r="D136" s="4"/>
      <c r="E136" s="4"/>
    </row>
    <row r="137" spans="1:5" s="26" customFormat="1">
      <c r="A137" s="4"/>
      <c r="B137" s="4"/>
      <c r="C137" s="4"/>
      <c r="D137" s="4"/>
      <c r="E137" s="4"/>
    </row>
    <row r="138" spans="1:5" s="26" customFormat="1">
      <c r="A138" s="4"/>
      <c r="B138" s="4"/>
      <c r="C138" s="4"/>
      <c r="D138" s="4"/>
      <c r="E138" s="4"/>
    </row>
    <row r="139" spans="1:5" s="26" customFormat="1">
      <c r="A139" s="4"/>
      <c r="B139" s="4"/>
      <c r="C139" s="4"/>
      <c r="D139" s="4"/>
      <c r="E139" s="4"/>
    </row>
    <row r="140" spans="1:5" s="26" customFormat="1">
      <c r="A140" s="4"/>
      <c r="B140" s="4"/>
      <c r="C140" s="4"/>
      <c r="D140" s="4"/>
      <c r="E140" s="4"/>
    </row>
    <row r="141" spans="1:5" s="26" customFormat="1">
      <c r="A141" s="4"/>
      <c r="B141" s="4"/>
      <c r="C141" s="4"/>
      <c r="D141" s="4"/>
      <c r="E141" s="4"/>
    </row>
    <row r="142" spans="1:5" s="26" customFormat="1">
      <c r="A142" s="4"/>
      <c r="B142" s="4"/>
      <c r="C142" s="4"/>
      <c r="D142" s="4"/>
      <c r="E142" s="4"/>
    </row>
    <row r="143" spans="1:5" s="26" customFormat="1">
      <c r="A143" s="4"/>
      <c r="B143" s="4"/>
      <c r="C143" s="4"/>
      <c r="D143" s="4"/>
      <c r="E143" s="4"/>
    </row>
    <row r="144" spans="1:5" s="26" customFormat="1">
      <c r="A144" s="4"/>
      <c r="B144" s="4"/>
      <c r="C144" s="4"/>
      <c r="D144" s="4"/>
      <c r="E144" s="4"/>
    </row>
    <row r="145" spans="1:5" s="26" customFormat="1">
      <c r="A145" s="4"/>
      <c r="B145" s="4"/>
      <c r="C145" s="4"/>
      <c r="D145" s="4"/>
      <c r="E145" s="4"/>
    </row>
    <row r="146" spans="1:5" s="26" customFormat="1">
      <c r="A146" s="4"/>
      <c r="B146" s="4"/>
      <c r="C146" s="4"/>
      <c r="D146" s="4"/>
      <c r="E146" s="4"/>
    </row>
    <row r="147" spans="1:5" s="26" customFormat="1">
      <c r="A147" s="4"/>
      <c r="B147" s="4"/>
      <c r="C147" s="4"/>
      <c r="D147" s="4"/>
      <c r="E147" s="4"/>
    </row>
    <row r="148" spans="1:5" s="26" customFormat="1">
      <c r="A148" s="4"/>
      <c r="B148" s="4"/>
      <c r="C148" s="4"/>
      <c r="D148" s="4"/>
      <c r="E148" s="4"/>
    </row>
    <row r="149" spans="1:5" s="26" customFormat="1">
      <c r="A149" s="4"/>
      <c r="B149" s="4"/>
      <c r="C149" s="4"/>
      <c r="D149" s="4"/>
      <c r="E149" s="4"/>
    </row>
    <row r="150" spans="1:5" s="26" customFormat="1">
      <c r="A150" s="4"/>
      <c r="B150" s="4"/>
      <c r="C150" s="4"/>
      <c r="D150" s="4"/>
      <c r="E150" s="4"/>
    </row>
    <row r="151" spans="1:5" s="26" customFormat="1">
      <c r="A151" s="4"/>
      <c r="B151" s="4"/>
      <c r="C151" s="4"/>
      <c r="D151" s="4"/>
      <c r="E151" s="4"/>
    </row>
    <row r="152" spans="1:5" s="26" customFormat="1">
      <c r="A152" s="4"/>
      <c r="B152" s="4"/>
      <c r="C152" s="4"/>
      <c r="D152" s="4"/>
      <c r="E152" s="4"/>
    </row>
    <row r="153" spans="1:5">
      <c r="A153" s="4"/>
      <c r="B153" s="4"/>
      <c r="C153" s="4"/>
      <c r="D153" s="4"/>
      <c r="E153" s="4"/>
    </row>
  </sheetData>
  <mergeCells count="5">
    <mergeCell ref="F1:K1"/>
    <mergeCell ref="L1:Q1"/>
    <mergeCell ref="R1:W1"/>
    <mergeCell ref="X1:AC1"/>
    <mergeCell ref="AD1:AI1"/>
  </mergeCells>
  <hyperlinks>
    <hyperlink ref="E3" r:id="rId1" xr:uid="{6E446570-4F37-4340-98D3-785C4DBE3D7D}"/>
    <hyperlink ref="E4:E52" r:id="rId2" display="https://www.nass.usda.gov/Publications/AgCensus/2022/Online_Resources/Typology/typology.pdf" xr:uid="{13B176E1-8D6E-4CAD-8BC7-5791927CCDC2}"/>
    <hyperlink ref="E50" r:id="rId3" xr:uid="{44718199-4EF9-4389-8E9F-BB5144859E90}"/>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4026E-E625-4A7A-B14D-C8C1AFFDCE8F}">
  <sheetPr>
    <tabColor theme="0"/>
  </sheetPr>
  <dimension ref="A1:EJ364"/>
  <sheetViews>
    <sheetView workbookViewId="0">
      <selection activeCell="J2" sqref="J2"/>
    </sheetView>
  </sheetViews>
  <sheetFormatPr defaultColWidth="11" defaultRowHeight="14.25" outlineLevelCol="1"/>
  <cols>
    <col min="4" max="4" width="0" hidden="1" customWidth="1" outlineLevel="1"/>
    <col min="5" max="5" width="20.140625" customWidth="1" collapsed="1"/>
    <col min="6" max="6" width="18.42578125" bestFit="1" customWidth="1"/>
    <col min="7" max="7" width="18.42578125" customWidth="1"/>
    <col min="8" max="8" width="18.42578125" hidden="1" customWidth="1" outlineLevel="1"/>
    <col min="9" max="9" width="22.42578125" bestFit="1" customWidth="1" collapsed="1"/>
    <col min="10" max="10" width="16.140625" customWidth="1"/>
    <col min="11" max="140" width="11" style="26"/>
  </cols>
  <sheetData>
    <row r="1" spans="1:10" ht="38.85">
      <c r="A1" s="5" t="s">
        <v>278</v>
      </c>
      <c r="B1" s="6" t="s">
        <v>279</v>
      </c>
      <c r="C1" s="6" t="s">
        <v>280</v>
      </c>
      <c r="D1" s="6" t="s">
        <v>282</v>
      </c>
      <c r="E1" s="7" t="s">
        <v>1003</v>
      </c>
      <c r="F1" s="61" t="s">
        <v>1004</v>
      </c>
      <c r="G1" s="61" t="s">
        <v>966</v>
      </c>
      <c r="H1" s="7" t="s">
        <v>282</v>
      </c>
      <c r="I1" s="7" t="s">
        <v>1005</v>
      </c>
      <c r="J1" s="7" t="s">
        <v>1006</v>
      </c>
    </row>
    <row r="2" spans="1:10">
      <c r="A2" s="9">
        <v>1</v>
      </c>
      <c r="B2" s="1" t="s">
        <v>304</v>
      </c>
      <c r="C2" s="1" t="s">
        <v>305</v>
      </c>
      <c r="D2" s="65" t="s">
        <v>1007</v>
      </c>
      <c r="E2" s="165">
        <v>3110700000</v>
      </c>
      <c r="F2" s="312">
        <f>E2/Demographics!F2</f>
        <v>9.5612320578979063E-3</v>
      </c>
      <c r="G2" s="313">
        <f>'Econ calc&gt;&gt;&gt;'!BI2*F2</f>
        <v>46748044.431271575</v>
      </c>
      <c r="H2" s="65" t="s">
        <v>1008</v>
      </c>
      <c r="I2" s="165">
        <v>24228</v>
      </c>
      <c r="J2" s="314">
        <f>I2/Demographics!J2</f>
        <v>8.4797817684691985E-3</v>
      </c>
    </row>
    <row r="3" spans="1:10">
      <c r="A3" s="9">
        <v>2</v>
      </c>
      <c r="B3" s="1" t="s">
        <v>314</v>
      </c>
      <c r="C3" s="1" t="s">
        <v>315</v>
      </c>
      <c r="D3" s="65" t="s">
        <v>1009</v>
      </c>
      <c r="E3" s="165">
        <v>21600000</v>
      </c>
      <c r="F3" s="312">
        <f>E3/Demographics!F3</f>
        <v>3.0181423892509419E-4</v>
      </c>
      <c r="G3" s="313">
        <f>'Econ calc&gt;&gt;&gt;'!BI3*F3</f>
        <v>195561.25024849334</v>
      </c>
      <c r="H3" s="65" t="s">
        <v>1008</v>
      </c>
      <c r="I3" s="165">
        <v>1870</v>
      </c>
      <c r="J3" s="314">
        <f>I3/Demographics!J3</f>
        <v>4.1187159297395521E-3</v>
      </c>
    </row>
    <row r="4" spans="1:10">
      <c r="A4" s="9">
        <v>3</v>
      </c>
      <c r="B4" s="1" t="s">
        <v>321</v>
      </c>
      <c r="C4" s="1" t="s">
        <v>322</v>
      </c>
      <c r="D4" s="65" t="s">
        <v>1010</v>
      </c>
      <c r="E4" s="165">
        <v>1950300000</v>
      </c>
      <c r="F4" s="312">
        <f>E4/Demographics!F4</f>
        <v>3.4210471845955172E-3</v>
      </c>
      <c r="G4" s="313">
        <f>'Econ calc&gt;&gt;&gt;'!BI4*F4</f>
        <v>24852802.660611071</v>
      </c>
      <c r="H4" s="65" t="s">
        <v>1008</v>
      </c>
      <c r="I4">
        <v>21617</v>
      </c>
      <c r="J4" s="314">
        <f>I4/Demographics!J4</f>
        <v>5.0857605996478053E-3</v>
      </c>
    </row>
    <row r="5" spans="1:10">
      <c r="A5" s="9">
        <v>4</v>
      </c>
      <c r="B5" s="1" t="s">
        <v>327</v>
      </c>
      <c r="C5" s="1" t="s">
        <v>328</v>
      </c>
      <c r="D5" s="65" t="s">
        <v>1011</v>
      </c>
      <c r="E5" s="165">
        <v>5205500000</v>
      </c>
      <c r="F5" s="312">
        <f>E5/Demographics!F5</f>
        <v>2.7638903342685234E-2</v>
      </c>
      <c r="G5" s="313">
        <f>'Econ calc&gt;&gt;&gt;'!BI5*F5</f>
        <v>80643924.389466137</v>
      </c>
      <c r="H5" s="65" t="s">
        <v>1008</v>
      </c>
      <c r="I5" s="165">
        <v>28162</v>
      </c>
      <c r="J5" s="314">
        <f>I5/Demographics!J5</f>
        <v>1.6142511747772825E-2</v>
      </c>
    </row>
    <row r="6" spans="1:10">
      <c r="A6" s="9">
        <v>5</v>
      </c>
      <c r="B6" s="1" t="s">
        <v>332</v>
      </c>
      <c r="C6" s="1" t="s">
        <v>333</v>
      </c>
      <c r="D6" s="65" t="s">
        <v>1012</v>
      </c>
      <c r="E6" s="165">
        <v>35079000000</v>
      </c>
      <c r="F6" s="312">
        <f>E6/Demographics!F6</f>
        <v>8.665529460539851E-3</v>
      </c>
      <c r="G6" s="313">
        <f>'Econ calc&gt;&gt;&gt;'!BI6*F6</f>
        <v>332519814.17827177</v>
      </c>
      <c r="H6" s="65" t="s">
        <v>1008</v>
      </c>
      <c r="I6" s="165">
        <v>372134</v>
      </c>
      <c r="J6" s="314">
        <f>I6/Demographics!J6</f>
        <v>1.4920097567961631E-2</v>
      </c>
    </row>
    <row r="7" spans="1:10">
      <c r="A7" s="9">
        <v>6</v>
      </c>
      <c r="B7" s="1" t="s">
        <v>337</v>
      </c>
      <c r="C7" s="1" t="s">
        <v>338</v>
      </c>
      <c r="D7" s="65" t="s">
        <v>1013</v>
      </c>
      <c r="E7" s="165">
        <v>2303300000</v>
      </c>
      <c r="F7" s="312">
        <f>E7/Demographics!F7</f>
        <v>4.1304944291317052E-3</v>
      </c>
      <c r="G7" s="313">
        <f>'Econ calc&gt;&gt;&gt;'!BI7*F7</f>
        <v>25246924.50800582</v>
      </c>
      <c r="H7" s="65" t="s">
        <v>1008</v>
      </c>
      <c r="I7" s="165">
        <v>32583</v>
      </c>
      <c r="J7" s="314">
        <f>I7/Demographics!J7</f>
        <v>7.9313748519698208E-3</v>
      </c>
    </row>
    <row r="8" spans="1:10">
      <c r="A8" s="9">
        <v>7</v>
      </c>
      <c r="B8" s="1" t="s">
        <v>342</v>
      </c>
      <c r="C8" s="1" t="s">
        <v>343</v>
      </c>
      <c r="D8" s="65" t="s">
        <v>1014</v>
      </c>
      <c r="E8" s="165">
        <v>326800000</v>
      </c>
      <c r="F8" s="312">
        <f>E8/Demographics!F8</f>
        <v>9.1582970163512592E-4</v>
      </c>
      <c r="G8" s="313">
        <f>'Econ calc&gt;&gt;&gt;'!BI8*F8</f>
        <v>2563235.7698787451</v>
      </c>
      <c r="H8" s="65" t="s">
        <v>1008</v>
      </c>
      <c r="I8" s="165">
        <v>11259</v>
      </c>
      <c r="J8" s="314">
        <f>I8/Demographics!J8</f>
        <v>4.7836258005637192E-3</v>
      </c>
    </row>
    <row r="9" spans="1:10">
      <c r="A9" s="9">
        <v>8</v>
      </c>
      <c r="B9" s="1" t="s">
        <v>348</v>
      </c>
      <c r="C9" s="1" t="s">
        <v>349</v>
      </c>
      <c r="D9" s="65" t="s">
        <v>1015</v>
      </c>
      <c r="E9" s="165">
        <v>957300000</v>
      </c>
      <c r="F9" s="312">
        <f>E9/Demographics!F9</f>
        <v>8.6265159256676029E-3</v>
      </c>
      <c r="G9" s="313">
        <f>'Econ calc&gt;&gt;&gt;'!BI9*F9</f>
        <v>7997780.0289528118</v>
      </c>
      <c r="H9" s="65" t="s">
        <v>1008</v>
      </c>
      <c r="I9" s="165">
        <v>3412</v>
      </c>
      <c r="J9" s="314">
        <f>I9/Demographics!J9</f>
        <v>5.3075402226615788E-3</v>
      </c>
    </row>
    <row r="10" spans="1:10">
      <c r="A10" s="9">
        <v>9</v>
      </c>
      <c r="B10" s="1" t="s">
        <v>353</v>
      </c>
      <c r="C10" s="1" t="s">
        <v>354</v>
      </c>
      <c r="D10" s="65" t="s">
        <v>1016</v>
      </c>
      <c r="E10" s="165">
        <v>5007500000</v>
      </c>
      <c r="F10" s="312">
        <f>E10/Demographics!F10</f>
        <v>2.9000239125286766E-3</v>
      </c>
      <c r="G10" s="313">
        <f>'Econ calc&gt;&gt;&gt;'!BI10*F10</f>
        <v>60829709.567163453</v>
      </c>
      <c r="H10" s="65" t="s">
        <v>1008</v>
      </c>
      <c r="I10" s="165">
        <v>96588</v>
      </c>
      <c r="J10" s="314">
        <f>I10/Demographics!J10</f>
        <v>6.7925158835221502E-3</v>
      </c>
    </row>
    <row r="11" spans="1:10">
      <c r="A11" s="9">
        <v>10</v>
      </c>
      <c r="B11" s="1" t="s">
        <v>358</v>
      </c>
      <c r="C11" s="1" t="s">
        <v>359</v>
      </c>
      <c r="D11" s="65" t="s">
        <v>1017</v>
      </c>
      <c r="E11" s="165">
        <v>5371900000</v>
      </c>
      <c r="F11" s="312">
        <f>E11/Demographics!F11</f>
        <v>6.0939875545116878E-3</v>
      </c>
      <c r="G11" s="313">
        <f>'Econ calc&gt;&gt;&gt;'!BI11*F11</f>
        <v>65085472.972223073</v>
      </c>
      <c r="H11" s="65" t="s">
        <v>1008</v>
      </c>
      <c r="I11" s="165">
        <v>44537</v>
      </c>
      <c r="J11" s="314">
        <f>I11/Demographics!J11</f>
        <v>6.4179872533703551E-3</v>
      </c>
    </row>
    <row r="12" spans="1:10">
      <c r="A12" s="9">
        <v>11</v>
      </c>
      <c r="B12" s="1" t="s">
        <v>363</v>
      </c>
      <c r="C12" s="1" t="s">
        <v>364</v>
      </c>
      <c r="D12" s="65" t="s">
        <v>1018</v>
      </c>
      <c r="E12" s="165">
        <v>452300000</v>
      </c>
      <c r="F12" s="312">
        <f>E12/Demographics!F12</f>
        <v>3.8451925316720422E-3</v>
      </c>
      <c r="G12" s="313">
        <f>'Econ calc&gt;&gt;&gt;'!BI12*F12</f>
        <v>4220798.0551756732</v>
      </c>
      <c r="H12" s="65" t="s">
        <v>1008</v>
      </c>
      <c r="I12" s="165">
        <v>9593</v>
      </c>
      <c r="J12" s="314">
        <f>I12/Demographics!J12</f>
        <v>1.0706891452233067E-2</v>
      </c>
    </row>
    <row r="13" spans="1:10">
      <c r="A13" s="9">
        <v>12</v>
      </c>
      <c r="B13" s="1" t="s">
        <v>368</v>
      </c>
      <c r="C13" s="1" t="s">
        <v>278</v>
      </c>
      <c r="D13" s="65" t="s">
        <v>1019</v>
      </c>
      <c r="E13" s="165">
        <v>4250700000</v>
      </c>
      <c r="F13" s="312">
        <f>E13/Demographics!F13</f>
        <v>3.2946514522757257E-2</v>
      </c>
      <c r="G13" s="313">
        <f>'Econ calc&gt;&gt;&gt;'!BI13*F13</f>
        <v>72133071.330367416</v>
      </c>
      <c r="H13" s="65" t="s">
        <v>1008</v>
      </c>
      <c r="I13" s="165">
        <v>42990</v>
      </c>
      <c r="J13" s="314">
        <f>I13/Demographics!J13</f>
        <v>3.6439954600512484E-2</v>
      </c>
    </row>
    <row r="14" spans="1:10">
      <c r="A14" s="9">
        <v>13</v>
      </c>
      <c r="B14" s="1" t="s">
        <v>372</v>
      </c>
      <c r="C14" s="1" t="s">
        <v>373</v>
      </c>
      <c r="D14" s="65" t="s">
        <v>1020</v>
      </c>
      <c r="E14" s="165">
        <v>10201300000</v>
      </c>
      <c r="F14" s="312">
        <f>E14/Demographics!F14</f>
        <v>8.8853286294707425E-3</v>
      </c>
      <c r="G14" s="313">
        <f>'Econ calc&gt;&gt;&gt;'!BI14*F14</f>
        <v>107906000.51349139</v>
      </c>
      <c r="H14" s="65" t="s">
        <v>1008</v>
      </c>
      <c r="I14" s="165">
        <v>52989</v>
      </c>
      <c r="J14" s="314">
        <f>I14/Demographics!J14</f>
        <v>6.6301615104791432E-3</v>
      </c>
    </row>
    <row r="15" spans="1:10">
      <c r="A15" s="9">
        <v>14</v>
      </c>
      <c r="B15" s="1" t="s">
        <v>378</v>
      </c>
      <c r="C15" s="1" t="s">
        <v>379</v>
      </c>
      <c r="D15" s="65" t="s">
        <v>1021</v>
      </c>
      <c r="E15" s="165">
        <v>6594200000</v>
      </c>
      <c r="F15" s="312">
        <f>E15/Demographics!F15</f>
        <v>1.2692955854145153E-2</v>
      </c>
      <c r="G15" s="313">
        <f>'Econ calc&gt;&gt;&gt;'!BI15*F15</f>
        <v>95199715.155929282</v>
      </c>
      <c r="H15" s="65" t="s">
        <v>1008</v>
      </c>
      <c r="I15" s="165">
        <v>39922</v>
      </c>
      <c r="J15" s="314">
        <f>I15/Demographics!J15</f>
        <v>9.7341007087591788E-3</v>
      </c>
    </row>
    <row r="16" spans="1:10">
      <c r="A16" s="9">
        <v>15</v>
      </c>
      <c r="B16" s="1" t="s">
        <v>383</v>
      </c>
      <c r="C16" s="1" t="s">
        <v>384</v>
      </c>
      <c r="D16" s="65" t="s">
        <v>1022</v>
      </c>
      <c r="E16" s="165">
        <v>14015900000</v>
      </c>
      <c r="F16" s="312">
        <f>E16/Demographics!F16</f>
        <v>5.2732091898064104E-2</v>
      </c>
      <c r="G16" s="313">
        <f>'Econ calc&gt;&gt;&gt;'!BI16*F16</f>
        <v>167524415.4493452</v>
      </c>
      <c r="H16" s="65" t="s">
        <v>1008</v>
      </c>
      <c r="I16" s="165">
        <v>71748</v>
      </c>
      <c r="J16" s="314">
        <f>I16/Demographics!J16</f>
        <v>3.4274871591048063E-2</v>
      </c>
    </row>
    <row r="17" spans="1:10">
      <c r="A17" s="9">
        <v>16</v>
      </c>
      <c r="B17" s="1" t="s">
        <v>388</v>
      </c>
      <c r="C17" s="1" t="s">
        <v>389</v>
      </c>
      <c r="D17" s="65" t="s">
        <v>1023</v>
      </c>
      <c r="E17" s="165">
        <v>6768700000</v>
      </c>
      <c r="F17" s="312">
        <f>E17/Demographics!F17</f>
        <v>2.9362477610606532E-2</v>
      </c>
      <c r="G17" s="313">
        <f>'Econ calc&gt;&gt;&gt;'!BI17*F17</f>
        <v>87284543.361465871</v>
      </c>
      <c r="H17" s="65" t="s">
        <v>1008</v>
      </c>
      <c r="I17" s="165">
        <v>38671</v>
      </c>
      <c r="J17" s="314">
        <f>I17/Demographics!J17</f>
        <v>1.977977349241309E-2</v>
      </c>
    </row>
    <row r="18" spans="1:10">
      <c r="A18" s="9">
        <v>17</v>
      </c>
      <c r="B18" s="1" t="s">
        <v>393</v>
      </c>
      <c r="C18" s="1" t="s">
        <v>394</v>
      </c>
      <c r="D18" s="65" t="s">
        <v>1024</v>
      </c>
      <c r="E18" s="165">
        <v>3406200000</v>
      </c>
      <c r="F18" s="312">
        <f>E18/Demographics!F18</f>
        <v>1.1531769921181628E-2</v>
      </c>
      <c r="G18" s="313">
        <f>'Econ calc&gt;&gt;&gt;'!BI18*F18</f>
        <v>60534952.709470585</v>
      </c>
      <c r="H18" s="65" t="s">
        <v>1008</v>
      </c>
      <c r="I18" s="165">
        <v>40464</v>
      </c>
      <c r="J18" s="314">
        <f>I18/Demographics!J18</f>
        <v>1.5348557222724392E-2</v>
      </c>
    </row>
    <row r="19" spans="1:10">
      <c r="A19" s="9">
        <v>18</v>
      </c>
      <c r="B19" s="1" t="s">
        <v>398</v>
      </c>
      <c r="C19" s="1" t="s">
        <v>399</v>
      </c>
      <c r="D19" s="65" t="s">
        <v>1025</v>
      </c>
      <c r="E19" s="165">
        <v>1801800000</v>
      </c>
      <c r="F19" s="312">
        <f>E19/Demographics!F19</f>
        <v>5.4737207934555951E-3</v>
      </c>
      <c r="G19" s="313">
        <f>'Econ calc&gt;&gt;&gt;'!BI19*F19</f>
        <v>25029013.029138971</v>
      </c>
      <c r="H19" s="65" t="s">
        <v>1008</v>
      </c>
      <c r="I19" s="165">
        <v>20863</v>
      </c>
      <c r="J19" s="314">
        <f>I19/Demographics!J19</f>
        <v>7.5438772846236233E-3</v>
      </c>
    </row>
    <row r="20" spans="1:10">
      <c r="A20" s="9">
        <v>19</v>
      </c>
      <c r="B20" s="1" t="s">
        <v>403</v>
      </c>
      <c r="C20" s="1" t="s">
        <v>404</v>
      </c>
      <c r="D20" s="65" t="s">
        <v>1026</v>
      </c>
      <c r="E20" s="165">
        <v>477100000</v>
      </c>
      <c r="F20" s="312">
        <f>E20/Demographics!F20</f>
        <v>4.8107318342188133E-3</v>
      </c>
      <c r="G20" s="313">
        <f>'Econ calc&gt;&gt;&gt;'!BI20*F20</f>
        <v>7318032.9105067309</v>
      </c>
      <c r="H20" s="65" t="s">
        <v>1008</v>
      </c>
      <c r="I20" s="165">
        <v>11122</v>
      </c>
      <c r="J20" s="314">
        <f>I20/Demographics!J20</f>
        <v>1.2818843076937262E-2</v>
      </c>
    </row>
    <row r="21" spans="1:10">
      <c r="A21" s="9">
        <v>20</v>
      </c>
      <c r="B21" s="1" t="s">
        <v>408</v>
      </c>
      <c r="C21" s="1" t="s">
        <v>409</v>
      </c>
      <c r="D21" s="65" t="s">
        <v>1027</v>
      </c>
      <c r="E21" s="165">
        <v>1281400000</v>
      </c>
      <c r="F21" s="312">
        <f>E21/Demographics!F21</f>
        <v>2.3467643807538216E-3</v>
      </c>
      <c r="G21" s="313">
        <f>'Econ calc&gt;&gt;&gt;'!BI21*F21</f>
        <v>13942987.794555651</v>
      </c>
      <c r="H21" s="65" t="s">
        <v>1008</v>
      </c>
      <c r="I21" s="165">
        <v>14820</v>
      </c>
      <c r="J21" s="314">
        <f>I21/Demographics!J21</f>
        <v>3.8298452969913232E-3</v>
      </c>
    </row>
    <row r="22" spans="1:10">
      <c r="A22" s="9">
        <v>21</v>
      </c>
      <c r="B22" s="1" t="s">
        <v>413</v>
      </c>
      <c r="C22" s="1" t="s">
        <v>414</v>
      </c>
      <c r="D22" s="65" t="s">
        <v>1028</v>
      </c>
      <c r="E22" s="165">
        <v>321700000</v>
      </c>
      <c r="F22" s="312">
        <f>E22/Demographics!F22</f>
        <v>4.1321815118209676E-4</v>
      </c>
      <c r="G22" s="313">
        <f>'Econ calc&gt;&gt;&gt;'!BI22*F22</f>
        <v>2325383.0780001157</v>
      </c>
      <c r="H22" s="65" t="s">
        <v>1008</v>
      </c>
      <c r="I22" s="165">
        <v>14032</v>
      </c>
      <c r="J22" s="314">
        <f>I22/Demographics!J22</f>
        <v>2.8419931218581513E-3</v>
      </c>
    </row>
    <row r="23" spans="1:10">
      <c r="A23" s="9">
        <v>22</v>
      </c>
      <c r="B23" s="1" t="s">
        <v>418</v>
      </c>
      <c r="C23" s="1" t="s">
        <v>419</v>
      </c>
      <c r="D23" s="65" t="s">
        <v>1029</v>
      </c>
      <c r="E23" s="165">
        <v>4642800000</v>
      </c>
      <c r="F23" s="312">
        <f>E23/Demographics!F23</f>
        <v>6.6092793838400075E-3</v>
      </c>
      <c r="G23" s="313">
        <f>'Econ calc&gt;&gt;&gt;'!BI23*F23</f>
        <v>83110956.621957242</v>
      </c>
      <c r="H23" s="65" t="s">
        <v>1008</v>
      </c>
      <c r="I23" s="165">
        <v>68950</v>
      </c>
      <c r="J23" s="314">
        <f>I23/Demographics!J23</f>
        <v>1.1880434070913871E-2</v>
      </c>
    </row>
    <row r="24" spans="1:10">
      <c r="A24" s="9">
        <v>23</v>
      </c>
      <c r="B24" s="1" t="s">
        <v>424</v>
      </c>
      <c r="C24" s="1" t="s">
        <v>425</v>
      </c>
      <c r="D24" s="65" t="s">
        <v>1030</v>
      </c>
      <c r="E24" s="165">
        <v>8549299999.999999</v>
      </c>
      <c r="F24" s="312">
        <f>E24/Demographics!F24</f>
        <v>1.683967981897536E-2</v>
      </c>
      <c r="G24" s="313">
        <f>'Econ calc&gt;&gt;&gt;'!BI24*F24</f>
        <v>109239746.8166067</v>
      </c>
      <c r="H24" s="65" t="s">
        <v>1008</v>
      </c>
      <c r="I24" s="165">
        <v>72097</v>
      </c>
      <c r="J24" s="314">
        <f>I24/Demographics!J24</f>
        <v>1.8976295488744167E-2</v>
      </c>
    </row>
    <row r="25" spans="1:10">
      <c r="A25" s="9">
        <v>24</v>
      </c>
      <c r="B25" s="1" t="s">
        <v>429</v>
      </c>
      <c r="C25" s="1" t="s">
        <v>430</v>
      </c>
      <c r="D25" s="65" t="s">
        <v>1031</v>
      </c>
      <c r="E25" s="165">
        <v>3085200000</v>
      </c>
      <c r="F25" s="312">
        <f>E25/Demographics!F25</f>
        <v>1.9502833258740623E-2</v>
      </c>
      <c r="G25" s="313">
        <f>'Econ calc&gt;&gt;&gt;'!BI25*F25</f>
        <v>45939648.313212819</v>
      </c>
      <c r="H25" s="65" t="s">
        <v>1008</v>
      </c>
      <c r="I25" s="165">
        <v>21936</v>
      </c>
      <c r="J25" s="314">
        <f>I25/Demographics!J25</f>
        <v>1.3166250319612887E-2</v>
      </c>
    </row>
    <row r="26" spans="1:10">
      <c r="A26" s="9">
        <v>25</v>
      </c>
      <c r="B26" s="1" t="s">
        <v>434</v>
      </c>
      <c r="C26" s="1" t="s">
        <v>435</v>
      </c>
      <c r="D26" s="65" t="s">
        <v>1032</v>
      </c>
      <c r="E26" s="165">
        <v>5524800000</v>
      </c>
      <c r="F26" s="312">
        <f>E26/Demographics!F26</f>
        <v>1.2312528010622364E-2</v>
      </c>
      <c r="G26" s="313">
        <f>'Econ calc&gt;&gt;&gt;'!BI26*F26</f>
        <v>78601701.317924902</v>
      </c>
      <c r="H26" s="65" t="s">
        <v>1008</v>
      </c>
      <c r="I26" s="165">
        <v>40576</v>
      </c>
      <c r="J26" s="314">
        <f>I26/Demographics!J26</f>
        <v>1.045812009517879E-2</v>
      </c>
    </row>
    <row r="27" spans="1:10">
      <c r="A27" s="9">
        <v>26</v>
      </c>
      <c r="B27" s="1" t="s">
        <v>439</v>
      </c>
      <c r="C27" s="1" t="s">
        <v>440</v>
      </c>
      <c r="D27" s="65" t="s">
        <v>1033</v>
      </c>
      <c r="E27" s="165">
        <v>1945800000</v>
      </c>
      <c r="F27" s="312">
        <f>E27/Demographics!F27</f>
        <v>2.4805905075152027E-2</v>
      </c>
      <c r="G27" s="313">
        <f>'Econ calc&gt;&gt;&gt;'!BI27*F27</f>
        <v>27459558.69532514</v>
      </c>
      <c r="H27" s="65" t="s">
        <v>1008</v>
      </c>
      <c r="I27" s="165">
        <v>20754</v>
      </c>
      <c r="J27" s="314">
        <f>I27/Demographics!J27</f>
        <v>2.8148535947907442E-2</v>
      </c>
    </row>
    <row r="28" spans="1:10">
      <c r="A28" s="9">
        <v>27</v>
      </c>
      <c r="B28" s="1" t="s">
        <v>444</v>
      </c>
      <c r="C28" s="1" t="s">
        <v>445</v>
      </c>
      <c r="D28" s="65" t="s">
        <v>1034</v>
      </c>
      <c r="E28" s="165">
        <v>9215800000</v>
      </c>
      <c r="F28" s="312">
        <f>E28/Demographics!F28</f>
        <v>4.8698311744653826E-2</v>
      </c>
      <c r="G28" s="313">
        <f>'Econ calc&gt;&gt;&gt;'!BI28*F28</f>
        <v>80674349.016985863</v>
      </c>
      <c r="H28" s="65" t="s">
        <v>1008</v>
      </c>
      <c r="I28" s="165">
        <v>43740</v>
      </c>
      <c r="J28" s="314">
        <f>I28/Demographics!J28</f>
        <v>3.2223581856664733E-2</v>
      </c>
    </row>
    <row r="29" spans="1:10">
      <c r="A29" s="9">
        <v>28</v>
      </c>
      <c r="B29" s="1" t="s">
        <v>449</v>
      </c>
      <c r="C29" s="1" t="s">
        <v>450</v>
      </c>
      <c r="D29" s="65" t="s">
        <v>1035</v>
      </c>
      <c r="E29" s="165">
        <v>369100000</v>
      </c>
      <c r="F29" s="312">
        <f>E29/Demographics!F29</f>
        <v>1.3720654026515694E-3</v>
      </c>
      <c r="G29" s="313">
        <f>'Econ calc&gt;&gt;&gt;'!BI29*F29</f>
        <v>4003398.6514389887</v>
      </c>
      <c r="H29" s="65" t="s">
        <v>1008</v>
      </c>
      <c r="I29" s="165">
        <v>4395</v>
      </c>
      <c r="J29" s="314">
        <f>I29/Demographics!J29</f>
        <v>2.150265125977649E-3</v>
      </c>
    </row>
    <row r="30" spans="1:10">
      <c r="A30" s="9">
        <v>29</v>
      </c>
      <c r="B30" s="1" t="s">
        <v>454</v>
      </c>
      <c r="C30" s="1" t="s">
        <v>455</v>
      </c>
      <c r="D30" s="65" t="s">
        <v>1036</v>
      </c>
      <c r="E30" s="165">
        <v>119000000</v>
      </c>
      <c r="F30" s="312">
        <f>E30/Demographics!F30</f>
        <v>9.9717940682070706E-4</v>
      </c>
      <c r="G30" s="313">
        <f>'Econ calc&gt;&gt;&gt;'!BI30*F30</f>
        <v>1346210.7798488245</v>
      </c>
      <c r="H30" s="65" t="s">
        <v>1008</v>
      </c>
      <c r="I30" s="165">
        <v>4627</v>
      </c>
      <c r="J30" s="314">
        <f>I30/Demographics!J30</f>
        <v>5.0372925124299306E-3</v>
      </c>
    </row>
    <row r="31" spans="1:10">
      <c r="A31" s="9">
        <v>30</v>
      </c>
      <c r="B31" s="1" t="s">
        <v>459</v>
      </c>
      <c r="C31" s="1" t="s">
        <v>460</v>
      </c>
      <c r="D31" s="65" t="s">
        <v>1037</v>
      </c>
      <c r="E31" s="165">
        <v>962500000</v>
      </c>
      <c r="F31" s="312">
        <f>E31/Demographics!F31</f>
        <v>1.1377063178693533E-3</v>
      </c>
      <c r="G31" s="313">
        <f>'Econ calc&gt;&gt;&gt;'!BI31*F31</f>
        <v>6774140.89369334</v>
      </c>
      <c r="H31" s="65" t="s">
        <v>1008</v>
      </c>
      <c r="I31" s="165">
        <v>24464</v>
      </c>
      <c r="J31" s="314">
        <f>I31/Demographics!J31</f>
        <v>4.1645664239322294E-3</v>
      </c>
    </row>
    <row r="32" spans="1:10">
      <c r="A32" s="9">
        <v>31</v>
      </c>
      <c r="B32" s="1" t="s">
        <v>464</v>
      </c>
      <c r="C32" s="1" t="s">
        <v>465</v>
      </c>
      <c r="D32" s="65" t="s">
        <v>1038</v>
      </c>
      <c r="E32" s="165">
        <v>1496800000</v>
      </c>
      <c r="F32" s="312">
        <f>E32/Demographics!F32</f>
        <v>1.0176435514454577E-2</v>
      </c>
      <c r="G32" s="313">
        <f>'Econ calc&gt;&gt;&gt;'!BI32*F32</f>
        <v>18466945.084207628</v>
      </c>
      <c r="H32" s="65" t="s">
        <v>1008</v>
      </c>
      <c r="I32" s="165">
        <v>17115</v>
      </c>
      <c r="J32" s="314">
        <f>I32/Demographics!J32</f>
        <v>1.5130458767179236E-2</v>
      </c>
    </row>
    <row r="33" spans="1:10">
      <c r="A33" s="9">
        <v>32</v>
      </c>
      <c r="B33" s="1" t="s">
        <v>469</v>
      </c>
      <c r="C33" s="1" t="s">
        <v>470</v>
      </c>
      <c r="D33" s="65" t="s">
        <v>1039</v>
      </c>
      <c r="E33" s="165">
        <v>3360500000</v>
      </c>
      <c r="F33" s="312">
        <f>E33/Demographics!F33</f>
        <v>1.4471571877117256E-3</v>
      </c>
      <c r="G33" s="313">
        <f>'Econ calc&gt;&gt;&gt;'!BI33*F33</f>
        <v>26992517.187720086</v>
      </c>
      <c r="H33" s="65" t="s">
        <v>1008</v>
      </c>
      <c r="I33" s="165">
        <v>56678</v>
      </c>
      <c r="J33" s="314">
        <f>I33/Demographics!J33</f>
        <v>4.4290635591485274E-3</v>
      </c>
    </row>
    <row r="34" spans="1:10">
      <c r="A34" s="9">
        <v>33</v>
      </c>
      <c r="B34" s="1" t="s">
        <v>474</v>
      </c>
      <c r="C34" s="1" t="s">
        <v>475</v>
      </c>
      <c r="D34" s="65" t="s">
        <v>1040</v>
      </c>
      <c r="E34" s="165">
        <v>5898500000</v>
      </c>
      <c r="F34" s="312">
        <f>E34/Demographics!F34</f>
        <v>6.9870138792644948E-3</v>
      </c>
      <c r="G34" s="313">
        <f>'Econ calc&gt;&gt;&gt;'!BI34*F34</f>
        <v>74835097.444714591</v>
      </c>
      <c r="H34" s="65" t="s">
        <v>1008</v>
      </c>
      <c r="I34" s="165">
        <v>55536</v>
      </c>
      <c r="J34" s="314">
        <f>I34/Demographics!J34</f>
        <v>8.4491138517178693E-3</v>
      </c>
    </row>
    <row r="35" spans="1:10">
      <c r="A35" s="9">
        <v>34</v>
      </c>
      <c r="B35" s="1" t="s">
        <v>479</v>
      </c>
      <c r="C35" s="1" t="s">
        <v>480</v>
      </c>
      <c r="D35" s="65" t="s">
        <v>1041</v>
      </c>
      <c r="E35" s="165">
        <v>4865200000</v>
      </c>
      <c r="F35" s="312">
        <f>E35/Demographics!F35</f>
        <v>6.0770713342651543E-2</v>
      </c>
      <c r="G35" s="313">
        <f>'Econ calc&gt;&gt;&gt;'!BI35*F35</f>
        <v>43955887.506930307</v>
      </c>
      <c r="H35" s="65" t="s">
        <v>1008</v>
      </c>
      <c r="I35" s="165">
        <v>24858</v>
      </c>
      <c r="J35" s="314">
        <f>I35/Demographics!J35</f>
        <v>4.275468258199893E-2</v>
      </c>
    </row>
    <row r="36" spans="1:10">
      <c r="A36" s="9">
        <v>35</v>
      </c>
      <c r="B36" s="1" t="s">
        <v>484</v>
      </c>
      <c r="C36" s="1" t="s">
        <v>485</v>
      </c>
      <c r="D36" s="65" t="s">
        <v>1042</v>
      </c>
      <c r="E36" s="165">
        <v>5565600000</v>
      </c>
      <c r="F36" s="312">
        <f>E36/Demographics!F36</f>
        <v>6.0289841005801287E-3</v>
      </c>
      <c r="G36" s="313">
        <f>'Econ calc&gt;&gt;&gt;'!BI36*F36</f>
        <v>85318624.684261933</v>
      </c>
      <c r="H36" s="65" t="s">
        <v>1008</v>
      </c>
      <c r="I36" s="165">
        <v>51715</v>
      </c>
      <c r="J36" s="314">
        <f>I36/Demographics!J36</f>
        <v>7.1665956681972219E-3</v>
      </c>
    </row>
    <row r="37" spans="1:10">
      <c r="A37" s="9">
        <v>36</v>
      </c>
      <c r="B37" s="1" t="s">
        <v>141</v>
      </c>
      <c r="C37" s="1" t="s">
        <v>489</v>
      </c>
      <c r="D37" s="65" t="s">
        <v>1043</v>
      </c>
      <c r="E37" s="165">
        <v>3722600000</v>
      </c>
      <c r="F37" s="312">
        <f>E37/Demographics!F37</f>
        <v>1.4117061712561213E-2</v>
      </c>
      <c r="G37" s="313">
        <f>'Econ calc&gt;&gt;&gt;'!BI37*F37</f>
        <v>56111810.148307808</v>
      </c>
      <c r="H37" s="65" t="s">
        <v>1008</v>
      </c>
      <c r="I37" s="165">
        <v>34232</v>
      </c>
      <c r="J37" s="314">
        <f>I37/Demographics!J37</f>
        <v>1.4379314487436583E-2</v>
      </c>
    </row>
    <row r="38" spans="1:10">
      <c r="A38" s="9">
        <v>37</v>
      </c>
      <c r="B38" s="1" t="s">
        <v>493</v>
      </c>
      <c r="C38" s="1" t="s">
        <v>494</v>
      </c>
      <c r="D38" s="65" t="s">
        <v>1044</v>
      </c>
      <c r="E38" s="165">
        <v>3111800000</v>
      </c>
      <c r="F38" s="312">
        <f>E38/Demographics!F38</f>
        <v>9.4225558145175428E-3</v>
      </c>
      <c r="G38" s="313">
        <f>'Econ calc&gt;&gt;&gt;'!BI38*F38</f>
        <v>52544889.074765921</v>
      </c>
      <c r="H38" s="65" t="s">
        <v>1008</v>
      </c>
      <c r="I38" s="165">
        <v>72040</v>
      </c>
      <c r="J38" s="314">
        <f>I38/Demographics!J38</f>
        <v>2.7514056841505437E-2</v>
      </c>
    </row>
    <row r="39" spans="1:10">
      <c r="A39" s="9">
        <v>38</v>
      </c>
      <c r="B39" s="1" t="s">
        <v>498</v>
      </c>
      <c r="C39" s="1" t="s">
        <v>499</v>
      </c>
      <c r="D39" s="65" t="s">
        <v>1045</v>
      </c>
      <c r="E39" s="165">
        <v>3790800000</v>
      </c>
      <c r="F39" s="312">
        <f>E39/Demographics!F39</f>
        <v>3.7611848069485677E-3</v>
      </c>
      <c r="G39" s="313">
        <f>'Econ calc&gt;&gt;&gt;'!BI39*F39</f>
        <v>46182869.349585377</v>
      </c>
      <c r="H39" s="65" t="s">
        <v>1008</v>
      </c>
      <c r="I39" s="165">
        <v>60475</v>
      </c>
      <c r="J39" s="314">
        <f>I39/Demographics!J39</f>
        <v>7.6516258708587753E-3</v>
      </c>
    </row>
    <row r="40" spans="1:10">
      <c r="A40" s="9">
        <v>39</v>
      </c>
      <c r="B40" s="1" t="s">
        <v>503</v>
      </c>
      <c r="C40" s="1" t="s">
        <v>504</v>
      </c>
      <c r="D40" s="65" t="s">
        <v>1046</v>
      </c>
      <c r="E40" s="165">
        <v>75000000</v>
      </c>
      <c r="F40" s="312">
        <f>E40/Demographics!F40</f>
        <v>9.3305515848874927E-4</v>
      </c>
      <c r="G40" s="313">
        <f>'Econ calc&gt;&gt;&gt;'!BI40*F40</f>
        <v>915835.01040680963</v>
      </c>
      <c r="H40" s="65" t="s">
        <v>1008</v>
      </c>
      <c r="I40" s="165">
        <v>1667</v>
      </c>
      <c r="J40" s="314">
        <f>I40/Demographics!J40</f>
        <v>2.5040632820503578E-3</v>
      </c>
    </row>
    <row r="41" spans="1:10">
      <c r="A41" s="9">
        <v>40</v>
      </c>
      <c r="B41" s="1" t="s">
        <v>508</v>
      </c>
      <c r="C41" s="1" t="s">
        <v>509</v>
      </c>
      <c r="D41" s="65" t="s">
        <v>1047</v>
      </c>
      <c r="E41" s="165">
        <v>1331300000</v>
      </c>
      <c r="F41" s="312">
        <f>E41/Demographics!F41</f>
        <v>3.7283546510195075E-3</v>
      </c>
      <c r="G41" s="313">
        <f>'Econ calc&gt;&gt;&gt;'!BI41*F41</f>
        <v>17165202.968302023</v>
      </c>
      <c r="H41" s="65" t="s">
        <v>1008</v>
      </c>
      <c r="I41" s="165">
        <v>18730</v>
      </c>
      <c r="J41" s="314">
        <f>I41/Demographics!J41</f>
        <v>6.1280564213066603E-3</v>
      </c>
    </row>
    <row r="42" spans="1:10">
      <c r="A42" s="9">
        <v>41</v>
      </c>
      <c r="B42" s="1" t="s">
        <v>513</v>
      </c>
      <c r="C42" s="1" t="s">
        <v>514</v>
      </c>
      <c r="D42" s="65" t="s">
        <v>1048</v>
      </c>
      <c r="E42" s="165">
        <v>5928700000</v>
      </c>
      <c r="F42" s="312">
        <f>E42/Demographics!F42</f>
        <v>7.7200836504079648E-2</v>
      </c>
      <c r="G42" s="313">
        <f>'Econ calc&gt;&gt;&gt;'!BI42*F42</f>
        <v>59074263.848597072</v>
      </c>
      <c r="H42" s="65" t="s">
        <v>1008</v>
      </c>
      <c r="I42" s="165">
        <v>26484</v>
      </c>
      <c r="J42" s="314">
        <f>I42/Demographics!J42</f>
        <v>4.1308701592827596E-2</v>
      </c>
    </row>
    <row r="43" spans="1:10">
      <c r="A43" s="9">
        <v>42</v>
      </c>
      <c r="B43" s="1" t="s">
        <v>518</v>
      </c>
      <c r="C43" s="1" t="s">
        <v>519</v>
      </c>
      <c r="D43" s="65" t="s">
        <v>1049</v>
      </c>
      <c r="E43" s="165">
        <v>1965200000</v>
      </c>
      <c r="F43" s="312">
        <f>E43/Demographics!F43</f>
        <v>3.5017744081801676E-3</v>
      </c>
      <c r="G43" s="313">
        <f>'Econ calc&gt;&gt;&gt;'!BI43*F43</f>
        <v>28134176.395962231</v>
      </c>
      <c r="H43" s="65" t="s">
        <v>1008</v>
      </c>
      <c r="I43" s="165">
        <v>32240</v>
      </c>
      <c r="J43" s="314">
        <f>I43/Demographics!J43</f>
        <v>7.1835526946121128E-3</v>
      </c>
    </row>
    <row r="44" spans="1:10">
      <c r="A44" s="9">
        <v>43</v>
      </c>
      <c r="B44" s="1" t="s">
        <v>523</v>
      </c>
      <c r="C44" s="1" t="s">
        <v>524</v>
      </c>
      <c r="D44" s="65" t="s">
        <v>1050</v>
      </c>
      <c r="E44" s="165">
        <v>14942900000</v>
      </c>
      <c r="F44" s="312">
        <f>E44/Demographics!F44</f>
        <v>5.3950040981798394E-3</v>
      </c>
      <c r="G44" s="313">
        <f>'Econ calc&gt;&gt;&gt;'!BI44*F44</f>
        <v>149797682.06983051</v>
      </c>
      <c r="H44" s="65" t="s">
        <v>1008</v>
      </c>
      <c r="I44" s="165">
        <v>120468</v>
      </c>
      <c r="J44" s="314">
        <f>I44/Demographics!J44</f>
        <v>6.1836984695002369E-3</v>
      </c>
    </row>
    <row r="45" spans="1:10">
      <c r="A45" s="9">
        <v>44</v>
      </c>
      <c r="B45" s="1" t="s">
        <v>528</v>
      </c>
      <c r="C45" s="1" t="s">
        <v>529</v>
      </c>
      <c r="D45" s="65" t="s">
        <v>1051</v>
      </c>
      <c r="E45" s="165">
        <v>1181500000</v>
      </c>
      <c r="F45" s="312">
        <f>E45/Demographics!F45</f>
        <v>3.9452862427885411E-3</v>
      </c>
      <c r="G45" s="313">
        <f>'Econ calc&gt;&gt;&gt;'!BI45*F45</f>
        <v>12566325.827212483</v>
      </c>
      <c r="H45" s="65" t="s">
        <v>1008</v>
      </c>
      <c r="I45" s="165">
        <v>16186</v>
      </c>
      <c r="J45" s="314">
        <f>I45/Demographics!J45</f>
        <v>6.9189331523165556E-3</v>
      </c>
    </row>
    <row r="46" spans="1:10">
      <c r="A46" s="9">
        <v>45</v>
      </c>
      <c r="B46" s="1" t="s">
        <v>533</v>
      </c>
      <c r="C46" s="1" t="s">
        <v>534</v>
      </c>
      <c r="D46" s="65" t="s">
        <v>1052</v>
      </c>
      <c r="E46" s="165">
        <v>452000000</v>
      </c>
      <c r="F46" s="312">
        <f>E46/Demographics!F46</f>
        <v>9.7674609571679546E-3</v>
      </c>
      <c r="G46" s="313">
        <f>'Econ calc&gt;&gt;&gt;'!BI46*F46</f>
        <v>6164080.4801490782</v>
      </c>
      <c r="H46" s="65" t="s">
        <v>1008</v>
      </c>
      <c r="I46" s="165">
        <v>8331</v>
      </c>
      <c r="J46" s="314">
        <f>I46/Demographics!J46</f>
        <v>1.9317230617265629E-2</v>
      </c>
    </row>
    <row r="47" spans="1:10">
      <c r="A47" s="9">
        <v>46</v>
      </c>
      <c r="B47" s="1" t="s">
        <v>538</v>
      </c>
      <c r="C47" s="1" t="s">
        <v>539</v>
      </c>
      <c r="D47" s="65" t="s">
        <v>1053</v>
      </c>
      <c r="E47" s="165">
        <v>1636600000</v>
      </c>
      <c r="F47" s="312">
        <f>E47/Demographics!F47</f>
        <v>2.1485196009419566E-3</v>
      </c>
      <c r="G47" s="313">
        <f>'Econ calc&gt;&gt;&gt;'!BI47*F47</f>
        <v>21116933.020160299</v>
      </c>
      <c r="H47" s="65" t="s">
        <v>1008</v>
      </c>
      <c r="I47" s="165">
        <v>33719</v>
      </c>
      <c r="J47" s="314">
        <f>I47/Demographics!J47</f>
        <v>6.0857348814997193E-3</v>
      </c>
    </row>
    <row r="48" spans="1:10">
      <c r="A48" s="9">
        <v>47</v>
      </c>
      <c r="B48" s="1" t="s">
        <v>543</v>
      </c>
      <c r="C48" s="1" t="s">
        <v>544</v>
      </c>
      <c r="D48" s="65" t="s">
        <v>1054</v>
      </c>
      <c r="E48" s="165">
        <v>5732800000</v>
      </c>
      <c r="F48" s="312">
        <f>E48/Demographics!F48</f>
        <v>6.6970898593199917E-3</v>
      </c>
      <c r="G48" s="313">
        <f>'Econ calc&gt;&gt;&gt;'!BI48*F48</f>
        <v>63638763.514655404</v>
      </c>
      <c r="H48" s="65" t="s">
        <v>1008</v>
      </c>
      <c r="I48" s="165">
        <v>176252</v>
      </c>
      <c r="J48" s="314">
        <f>I48/Demographics!J48</f>
        <v>3.706294868001675E-2</v>
      </c>
    </row>
    <row r="49" spans="1:10">
      <c r="A49" s="9">
        <v>48</v>
      </c>
      <c r="B49" s="1" t="s">
        <v>548</v>
      </c>
      <c r="C49" s="1" t="s">
        <v>549</v>
      </c>
      <c r="D49" s="65" t="s">
        <v>1055</v>
      </c>
      <c r="E49" s="165">
        <v>424100000</v>
      </c>
      <c r="F49" s="312">
        <f>E49/Demographics!F49</f>
        <v>3.9830908822813971E-3</v>
      </c>
      <c r="G49" s="313">
        <f>'Econ calc&gt;&gt;&gt;'!BI49*F49</f>
        <v>8914677.5902444813</v>
      </c>
      <c r="H49" s="65" t="s">
        <v>1008</v>
      </c>
      <c r="I49" s="165">
        <v>7175</v>
      </c>
      <c r="J49" s="314">
        <f>I49/Demographics!J49</f>
        <v>8.1056685453742335E-3</v>
      </c>
    </row>
    <row r="50" spans="1:10">
      <c r="A50" s="9">
        <v>49</v>
      </c>
      <c r="B50" s="1" t="s">
        <v>553</v>
      </c>
      <c r="C50" s="1" t="s">
        <v>554</v>
      </c>
      <c r="D50" s="65" t="s">
        <v>1056</v>
      </c>
      <c r="E50" s="165">
        <v>6359600000</v>
      </c>
      <c r="F50" s="312">
        <f>E50/Demographics!F50</f>
        <v>1.402960432703741E-2</v>
      </c>
      <c r="G50" s="313">
        <f>'Econ calc&gt;&gt;&gt;'!BI50*F50</f>
        <v>97957484.059983388</v>
      </c>
      <c r="H50" s="65" t="s">
        <v>1008</v>
      </c>
      <c r="I50" s="165">
        <v>66659</v>
      </c>
      <c r="J50" s="314">
        <f>I50/Demographics!J50</f>
        <v>1.7694325281577852E-2</v>
      </c>
    </row>
    <row r="51" spans="1:10">
      <c r="A51" s="13">
        <v>50</v>
      </c>
      <c r="B51" s="14" t="s">
        <v>558</v>
      </c>
      <c r="C51" s="14" t="s">
        <v>559</v>
      </c>
      <c r="D51" s="111" t="s">
        <v>1057</v>
      </c>
      <c r="E51" s="167">
        <v>668800000</v>
      </c>
      <c r="F51" s="315">
        <f>E51/Demographics!F51</f>
        <v>1.2986886894856315E-2</v>
      </c>
      <c r="G51" s="316">
        <f>'Econ calc&gt;&gt;&gt;'!BI51*F51</f>
        <v>7593481.6734906686</v>
      </c>
      <c r="H51" s="111" t="s">
        <v>1008</v>
      </c>
      <c r="I51" s="167">
        <v>8699</v>
      </c>
      <c r="J51" s="317">
        <f>I51/Demographics!J51</f>
        <v>2.0184793302518982E-2</v>
      </c>
    </row>
    <row r="52" spans="1:10" s="26" customFormat="1"/>
    <row r="53" spans="1:10" s="26" customFormat="1"/>
    <row r="54" spans="1:10" s="26" customFormat="1"/>
    <row r="55" spans="1:10" s="26" customFormat="1"/>
    <row r="56" spans="1:10" s="26" customFormat="1"/>
    <row r="57" spans="1:10" s="26" customFormat="1"/>
    <row r="58" spans="1:10" s="26" customFormat="1"/>
    <row r="59" spans="1:10" s="26" customFormat="1"/>
    <row r="60" spans="1:10" s="26" customFormat="1"/>
    <row r="61" spans="1:10" s="26" customFormat="1"/>
    <row r="62" spans="1:10" s="26" customFormat="1"/>
    <row r="63" spans="1:10" s="26" customFormat="1"/>
    <row r="64" spans="1:10"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26" customFormat="1"/>
    <row r="130" s="26" customFormat="1"/>
    <row r="131" s="26" customFormat="1"/>
    <row r="132" s="26" customFormat="1"/>
    <row r="133" s="26" customFormat="1"/>
    <row r="134" s="26" customFormat="1"/>
    <row r="135" s="26" customFormat="1"/>
    <row r="136" s="26" customFormat="1"/>
    <row r="137" s="26" customFormat="1"/>
    <row r="138" s="26" customFormat="1"/>
    <row r="139" s="26" customFormat="1"/>
    <row r="140" s="26" customFormat="1"/>
    <row r="141" s="26" customFormat="1"/>
    <row r="142" s="26" customFormat="1"/>
    <row r="143" s="26" customFormat="1"/>
    <row r="144"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row r="210" s="26" customFormat="1"/>
    <row r="211" s="26" customFormat="1"/>
    <row r="212" s="26" customFormat="1"/>
    <row r="213" s="26" customFormat="1"/>
    <row r="214" s="26" customFormat="1"/>
    <row r="215" s="26" customFormat="1"/>
    <row r="216" s="26" customFormat="1"/>
    <row r="217" s="26" customFormat="1"/>
    <row r="218" s="26" customFormat="1"/>
    <row r="219" s="26" customFormat="1"/>
    <row r="220" s="26" customFormat="1"/>
    <row r="221" s="26" customFormat="1"/>
    <row r="222" s="26" customFormat="1"/>
    <row r="223" s="26" customFormat="1"/>
    <row r="224" s="26" customFormat="1"/>
    <row r="225" s="26" customFormat="1"/>
    <row r="226" s="26" customFormat="1"/>
    <row r="227" s="26" customFormat="1"/>
    <row r="228" s="26" customFormat="1"/>
    <row r="229" s="26" customFormat="1"/>
    <row r="230" s="26" customFormat="1"/>
    <row r="231" s="26" customFormat="1"/>
    <row r="232" s="26" customFormat="1"/>
    <row r="233" s="26" customFormat="1"/>
    <row r="234" s="26" customFormat="1"/>
    <row r="235" s="26" customFormat="1"/>
    <row r="236" s="26" customFormat="1"/>
    <row r="237" s="26" customFormat="1"/>
    <row r="238" s="26" customFormat="1"/>
    <row r="239" s="26" customFormat="1"/>
    <row r="240" s="26" customFormat="1"/>
    <row r="241" s="26" customFormat="1"/>
    <row r="242" s="26" customFormat="1"/>
    <row r="243" s="26" customFormat="1"/>
    <row r="244" s="26" customFormat="1"/>
    <row r="245" s="26" customFormat="1"/>
    <row r="246" s="26" customFormat="1"/>
    <row r="247" s="26" customFormat="1"/>
    <row r="248" s="26" customFormat="1"/>
    <row r="249" s="26" customFormat="1"/>
    <row r="250" s="26" customFormat="1"/>
    <row r="251" s="26" customFormat="1"/>
    <row r="252" s="26" customFormat="1"/>
    <row r="253" s="26" customFormat="1"/>
    <row r="254" s="26" customFormat="1"/>
    <row r="255" s="26" customFormat="1"/>
    <row r="256" s="26" customFormat="1"/>
    <row r="257" s="26" customFormat="1"/>
    <row r="258" s="26" customFormat="1"/>
    <row r="259" s="26" customFormat="1"/>
    <row r="260" s="26" customFormat="1"/>
    <row r="261" s="26" customFormat="1"/>
    <row r="262" s="26" customFormat="1"/>
    <row r="263" s="26" customFormat="1"/>
    <row r="264" s="26" customFormat="1"/>
    <row r="265" s="26" customFormat="1"/>
    <row r="266" s="26" customFormat="1"/>
    <row r="267" s="26" customFormat="1"/>
    <row r="268" s="26" customFormat="1"/>
    <row r="269" s="26" customFormat="1"/>
    <row r="270" s="26" customFormat="1"/>
    <row r="271" s="26" customFormat="1"/>
    <row r="272" s="26" customFormat="1"/>
    <row r="273" s="26" customFormat="1"/>
    <row r="274" s="26" customFormat="1"/>
    <row r="275" s="26" customFormat="1"/>
    <row r="276" s="26" customFormat="1"/>
    <row r="277" s="26" customFormat="1"/>
    <row r="278" s="26" customFormat="1"/>
    <row r="279" s="26" customFormat="1"/>
    <row r="280" s="26" customFormat="1"/>
    <row r="281" s="26" customFormat="1"/>
    <row r="282" s="26" customFormat="1"/>
    <row r="283" s="26" customFormat="1"/>
    <row r="284" s="26" customFormat="1"/>
    <row r="285" s="26" customFormat="1"/>
    <row r="286" s="26" customFormat="1"/>
    <row r="287" s="26" customFormat="1"/>
    <row r="288" s="26" customFormat="1"/>
    <row r="289" s="26" customFormat="1"/>
    <row r="290" s="26" customFormat="1"/>
    <row r="291" s="26" customFormat="1"/>
    <row r="292" s="26" customFormat="1"/>
    <row r="293" s="26" customFormat="1"/>
    <row r="294" s="26" customFormat="1"/>
    <row r="295" s="26" customFormat="1"/>
    <row r="296" s="26" customFormat="1"/>
    <row r="297" s="26" customFormat="1"/>
    <row r="298" s="26" customFormat="1"/>
    <row r="299" s="26" customFormat="1"/>
    <row r="300" s="26" customFormat="1"/>
    <row r="301" s="26" customFormat="1"/>
    <row r="302" s="26" customFormat="1"/>
    <row r="303" s="26" customFormat="1"/>
    <row r="304" s="26" customFormat="1"/>
    <row r="305" s="26" customFormat="1"/>
    <row r="306" s="26" customFormat="1"/>
    <row r="307" s="26" customFormat="1"/>
    <row r="308" s="26" customFormat="1"/>
    <row r="309" s="26" customFormat="1"/>
    <row r="310" s="26" customFormat="1"/>
    <row r="311" s="26" customFormat="1"/>
    <row r="312" s="26" customFormat="1"/>
    <row r="313" s="26" customFormat="1"/>
    <row r="314" s="26" customFormat="1"/>
    <row r="315" s="26" customFormat="1"/>
    <row r="316" s="26" customFormat="1"/>
    <row r="317" s="26" customFormat="1"/>
    <row r="318" s="26" customFormat="1"/>
    <row r="319" s="26" customFormat="1"/>
    <row r="320" s="26" customFormat="1"/>
    <row r="321" s="26" customFormat="1"/>
    <row r="322" s="26" customFormat="1"/>
    <row r="323" s="26" customFormat="1"/>
    <row r="324" s="26" customFormat="1"/>
    <row r="325" s="26" customFormat="1"/>
    <row r="326" s="26" customFormat="1"/>
    <row r="327" s="26" customFormat="1"/>
    <row r="328" s="26" customFormat="1"/>
    <row r="329" s="26" customFormat="1"/>
    <row r="330" s="26" customFormat="1"/>
    <row r="331" s="26" customFormat="1"/>
    <row r="332" s="26" customFormat="1"/>
    <row r="333" s="26" customFormat="1"/>
    <row r="334" s="26" customFormat="1"/>
    <row r="335" s="26" customFormat="1"/>
    <row r="336" s="26" customFormat="1"/>
    <row r="337" s="26" customFormat="1"/>
    <row r="338" s="26" customFormat="1"/>
    <row r="339" s="26" customFormat="1"/>
    <row r="340" s="26" customFormat="1"/>
    <row r="341" s="26" customFormat="1"/>
    <row r="342" s="26" customFormat="1"/>
    <row r="343" s="26" customFormat="1"/>
    <row r="344" s="26" customFormat="1"/>
    <row r="345" s="26" customFormat="1"/>
    <row r="346" s="26" customFormat="1"/>
    <row r="347" s="26" customFormat="1"/>
    <row r="348" s="26" customFormat="1"/>
    <row r="349" s="26" customFormat="1"/>
    <row r="350" s="26" customFormat="1"/>
    <row r="351" s="26" customFormat="1"/>
    <row r="352" s="26" customFormat="1"/>
    <row r="353" s="26" customFormat="1"/>
    <row r="354" s="26" customFormat="1"/>
    <row r="355" s="26" customFormat="1"/>
    <row r="356" s="26" customFormat="1"/>
    <row r="357" s="26" customFormat="1"/>
    <row r="358" s="26" customFormat="1"/>
    <row r="359" s="26" customFormat="1"/>
    <row r="360" s="26" customFormat="1"/>
    <row r="361" s="26" customFormat="1"/>
    <row r="362" s="26" customFormat="1"/>
    <row r="363" s="26" customFormat="1"/>
    <row r="364" s="26" customFormat="1"/>
  </sheetData>
  <phoneticPr fontId="6" type="noConversion"/>
  <hyperlinks>
    <hyperlink ref="D2" r:id="rId1" location="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19" display="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19" xr:uid="{40263699-AE47-4262-B47E-995147E7F668}"/>
    <hyperlink ref="D3:D51" r:id="rId2" location="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19" display="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QiXSxbIlVuaXRfb2ZfbWVhc3VyZSIsIkxldmVscyJdLFsiWWVhciIsWyIyMDI0Il1dLFsiWWVhckJlZ2luIiwiLTEiXSxbIlllYXJfRW5kIiwiLTEiXV19" xr:uid="{DFAA08EB-FCDD-41D4-B451-CD82F81E8577}"/>
    <hyperlink ref="H2" r:id="rId3" xr:uid="{BA5419A7-4731-4065-83B6-64E6AA04E98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203D3-FF24-4614-A3E8-C13D79164B98}">
  <sheetPr>
    <tabColor rgb="FF72B2AF"/>
  </sheetPr>
  <dimension ref="B1:C20"/>
  <sheetViews>
    <sheetView topLeftCell="A13" workbookViewId="0">
      <selection activeCell="C14" sqref="C14"/>
    </sheetView>
  </sheetViews>
  <sheetFormatPr defaultColWidth="8.7109375" defaultRowHeight="14.25"/>
  <cols>
    <col min="1" max="1" width="3.28515625" style="26" customWidth="1"/>
    <col min="2" max="2" width="36.5703125" style="26" customWidth="1"/>
    <col min="3" max="3" width="80.5703125" style="26" customWidth="1"/>
    <col min="4" max="16384" width="8.7109375" style="26"/>
  </cols>
  <sheetData>
    <row r="1" spans="2:3" ht="15" thickBot="1"/>
    <row r="2" spans="2:3" ht="22.15" customHeight="1" thickBot="1">
      <c r="B2" s="318" t="s">
        <v>87</v>
      </c>
      <c r="C2" s="318" t="s">
        <v>88</v>
      </c>
    </row>
    <row r="3" spans="2:3" ht="45" customHeight="1" thickBot="1">
      <c r="B3" s="365" t="s">
        <v>89</v>
      </c>
      <c r="C3" s="367" t="s">
        <v>90</v>
      </c>
    </row>
    <row r="4" spans="2:3" ht="45" customHeight="1" thickBot="1">
      <c r="B4" s="366" t="s">
        <v>91</v>
      </c>
      <c r="C4" s="368" t="s">
        <v>92</v>
      </c>
    </row>
    <row r="5" spans="2:3" ht="45" customHeight="1" thickBot="1">
      <c r="B5" s="366" t="s">
        <v>93</v>
      </c>
      <c r="C5" s="368" t="s">
        <v>94</v>
      </c>
    </row>
    <row r="6" spans="2:3" ht="45" customHeight="1" thickBot="1">
      <c r="B6" s="366" t="s">
        <v>95</v>
      </c>
      <c r="C6" s="368" t="s">
        <v>96</v>
      </c>
    </row>
    <row r="7" spans="2:3" ht="60" customHeight="1" thickBot="1">
      <c r="B7" s="366" t="s">
        <v>97</v>
      </c>
      <c r="C7" s="368" t="s">
        <v>98</v>
      </c>
    </row>
    <row r="8" spans="2:3" ht="45" customHeight="1" thickBot="1">
      <c r="B8" s="366" t="s">
        <v>99</v>
      </c>
      <c r="C8" s="368" t="s">
        <v>100</v>
      </c>
    </row>
    <row r="9" spans="2:3" ht="60" customHeight="1" thickBot="1">
      <c r="B9" s="366" t="s">
        <v>101</v>
      </c>
      <c r="C9" s="368" t="s">
        <v>102</v>
      </c>
    </row>
    <row r="10" spans="2:3" ht="60" customHeight="1" thickBot="1">
      <c r="B10" s="366" t="s">
        <v>103</v>
      </c>
      <c r="C10" s="368" t="s">
        <v>104</v>
      </c>
    </row>
    <row r="11" spans="2:3" ht="45" customHeight="1" thickBot="1">
      <c r="B11" s="366" t="s">
        <v>105</v>
      </c>
      <c r="C11" s="368" t="s">
        <v>106</v>
      </c>
    </row>
    <row r="12" spans="2:3" ht="45" customHeight="1" thickBot="1">
      <c r="B12" s="366" t="s">
        <v>107</v>
      </c>
      <c r="C12" s="368" t="s">
        <v>108</v>
      </c>
    </row>
    <row r="13" spans="2:3" ht="45" customHeight="1" thickBot="1">
      <c r="B13" s="366" t="s">
        <v>109</v>
      </c>
      <c r="C13" s="368" t="s">
        <v>110</v>
      </c>
    </row>
    <row r="14" spans="2:3" ht="60" customHeight="1" thickBot="1">
      <c r="B14" s="366" t="s">
        <v>111</v>
      </c>
      <c r="C14" s="368" t="s">
        <v>112</v>
      </c>
    </row>
    <row r="15" spans="2:3" ht="45" customHeight="1" thickBot="1">
      <c r="B15" s="366" t="s">
        <v>113</v>
      </c>
      <c r="C15" s="368" t="s">
        <v>114</v>
      </c>
    </row>
    <row r="16" spans="2:3" ht="45" customHeight="1" thickBot="1">
      <c r="B16" s="366" t="s">
        <v>115</v>
      </c>
      <c r="C16" s="368" t="s">
        <v>116</v>
      </c>
    </row>
    <row r="17" spans="2:3" ht="45" customHeight="1" thickBot="1">
      <c r="B17" s="370" t="s">
        <v>117</v>
      </c>
      <c r="C17" s="320" t="s">
        <v>118</v>
      </c>
    </row>
    <row r="18" spans="2:3" ht="60" customHeight="1" thickBot="1">
      <c r="B18" s="366" t="s">
        <v>119</v>
      </c>
      <c r="C18" s="368" t="s">
        <v>120</v>
      </c>
    </row>
    <row r="19" spans="2:3" ht="45" customHeight="1" thickBot="1">
      <c r="B19" s="366" t="s">
        <v>121</v>
      </c>
      <c r="C19" s="368" t="s">
        <v>122</v>
      </c>
    </row>
    <row r="20" spans="2:3" ht="60" customHeight="1" thickBot="1">
      <c r="B20" s="366" t="s">
        <v>123</v>
      </c>
      <c r="C20" s="368" t="s">
        <v>124</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BE768-8D45-480A-BC30-DD478675CD5F}">
  <sheetPr>
    <tabColor theme="0"/>
  </sheetPr>
  <dimension ref="A1:E53"/>
  <sheetViews>
    <sheetView workbookViewId="0">
      <selection activeCell="D2" sqref="D2"/>
    </sheetView>
  </sheetViews>
  <sheetFormatPr defaultColWidth="10.85546875" defaultRowHeight="14.25" outlineLevelCol="1"/>
  <cols>
    <col min="1" max="1" width="7.42578125" style="4" customWidth="1"/>
    <col min="2" max="2" width="15.42578125" style="4" customWidth="1"/>
    <col min="3" max="3" width="13.42578125" style="4" customWidth="1"/>
    <col min="4" max="4" width="16.140625" style="4" customWidth="1" outlineLevel="1"/>
    <col min="5" max="5" width="25.140625" style="4" customWidth="1"/>
    <col min="6" max="16384" width="10.85546875" style="26"/>
  </cols>
  <sheetData>
    <row r="1" spans="1:5" ht="35.1" customHeight="1">
      <c r="A1" s="158" t="s">
        <v>278</v>
      </c>
      <c r="B1" s="7" t="s">
        <v>279</v>
      </c>
      <c r="C1" s="7" t="s">
        <v>280</v>
      </c>
      <c r="D1" s="7" t="s">
        <v>282</v>
      </c>
      <c r="E1" s="18" t="s">
        <v>276</v>
      </c>
    </row>
    <row r="2" spans="1:5">
      <c r="A2" s="9">
        <v>1</v>
      </c>
      <c r="B2" s="1" t="s">
        <v>304</v>
      </c>
      <c r="C2" s="1" t="s">
        <v>305</v>
      </c>
      <c r="D2" s="73" t="s">
        <v>1058</v>
      </c>
      <c r="E2" s="159">
        <v>1.9</v>
      </c>
    </row>
    <row r="3" spans="1:5">
      <c r="A3" s="9">
        <v>2</v>
      </c>
      <c r="B3" s="1" t="s">
        <v>314</v>
      </c>
      <c r="C3" s="1" t="s">
        <v>315</v>
      </c>
      <c r="D3" s="73" t="s">
        <v>1059</v>
      </c>
      <c r="E3" s="159">
        <v>2</v>
      </c>
    </row>
    <row r="4" spans="1:5">
      <c r="A4" s="9">
        <v>3</v>
      </c>
      <c r="B4" s="1" t="s">
        <v>321</v>
      </c>
      <c r="C4" s="1" t="s">
        <v>322</v>
      </c>
      <c r="D4" s="73" t="s">
        <v>1060</v>
      </c>
      <c r="E4" s="159">
        <v>2.2999999999999998</v>
      </c>
    </row>
    <row r="5" spans="1:5">
      <c r="A5" s="9">
        <v>4</v>
      </c>
      <c r="B5" s="1" t="s">
        <v>327</v>
      </c>
      <c r="C5" s="1" t="s">
        <v>328</v>
      </c>
      <c r="D5" s="73" t="s">
        <v>1061</v>
      </c>
      <c r="E5" s="159">
        <v>1.9</v>
      </c>
    </row>
    <row r="6" spans="1:5">
      <c r="A6" s="9">
        <v>5</v>
      </c>
      <c r="B6" s="1" t="s">
        <v>332</v>
      </c>
      <c r="C6" s="1" t="s">
        <v>333</v>
      </c>
      <c r="D6" s="73" t="s">
        <v>1062</v>
      </c>
      <c r="E6" s="159">
        <v>2.2999999999999998</v>
      </c>
    </row>
    <row r="7" spans="1:5">
      <c r="A7" s="9">
        <v>6</v>
      </c>
      <c r="B7" s="1" t="s">
        <v>337</v>
      </c>
      <c r="C7" s="1" t="s">
        <v>338</v>
      </c>
      <c r="D7" s="73" t="s">
        <v>1063</v>
      </c>
      <c r="E7" s="159">
        <v>2.2999999999999998</v>
      </c>
    </row>
    <row r="8" spans="1:5">
      <c r="A8" s="9">
        <v>7</v>
      </c>
      <c r="B8" s="1" t="s">
        <v>342</v>
      </c>
      <c r="C8" s="1" t="s">
        <v>343</v>
      </c>
      <c r="D8" s="73" t="s">
        <v>1064</v>
      </c>
      <c r="E8" s="159">
        <v>1.9</v>
      </c>
    </row>
    <row r="9" spans="1:5">
      <c r="A9" s="9">
        <v>8</v>
      </c>
      <c r="B9" s="1" t="s">
        <v>348</v>
      </c>
      <c r="C9" s="1" t="s">
        <v>349</v>
      </c>
      <c r="D9" s="73" t="s">
        <v>1065</v>
      </c>
      <c r="E9" s="159">
        <v>1.9</v>
      </c>
    </row>
    <row r="10" spans="1:5">
      <c r="A10" s="9">
        <v>9</v>
      </c>
      <c r="B10" s="1" t="s">
        <v>353</v>
      </c>
      <c r="C10" s="1" t="s">
        <v>354</v>
      </c>
      <c r="D10" s="73" t="s">
        <v>1066</v>
      </c>
      <c r="E10" s="159">
        <v>2.2000000000000002</v>
      </c>
    </row>
    <row r="11" spans="1:5">
      <c r="A11" s="9">
        <v>10</v>
      </c>
      <c r="B11" s="1" t="s">
        <v>358</v>
      </c>
      <c r="C11" s="1" t="s">
        <v>359</v>
      </c>
      <c r="D11" s="73" t="s">
        <v>1067</v>
      </c>
      <c r="E11" s="159">
        <v>2.2000000000000002</v>
      </c>
    </row>
    <row r="12" spans="1:5">
      <c r="A12" s="9">
        <v>11</v>
      </c>
      <c r="B12" s="1" t="s">
        <v>363</v>
      </c>
      <c r="C12" s="1" t="s">
        <v>364</v>
      </c>
      <c r="D12" s="73" t="s">
        <v>1068</v>
      </c>
      <c r="E12" s="159">
        <v>2</v>
      </c>
    </row>
    <row r="13" spans="1:5">
      <c r="A13" s="9">
        <v>12</v>
      </c>
      <c r="B13" s="1" t="s">
        <v>368</v>
      </c>
      <c r="C13" s="1" t="s">
        <v>278</v>
      </c>
      <c r="D13" s="73" t="s">
        <v>1069</v>
      </c>
      <c r="E13" s="159">
        <v>2.2999999999999998</v>
      </c>
    </row>
    <row r="14" spans="1:5">
      <c r="A14" s="9">
        <v>13</v>
      </c>
      <c r="B14" s="1" t="s">
        <v>372</v>
      </c>
      <c r="C14" s="1" t="s">
        <v>373</v>
      </c>
      <c r="D14" s="73" t="s">
        <v>1070</v>
      </c>
      <c r="E14" s="159">
        <v>2.2000000000000002</v>
      </c>
    </row>
    <row r="15" spans="1:5">
      <c r="A15" s="9">
        <v>14</v>
      </c>
      <c r="B15" s="1" t="s">
        <v>378</v>
      </c>
      <c r="C15" s="1" t="s">
        <v>379</v>
      </c>
      <c r="D15" s="73" t="s">
        <v>1071</v>
      </c>
      <c r="E15" s="159">
        <v>2.1</v>
      </c>
    </row>
    <row r="16" spans="1:5">
      <c r="A16" s="9">
        <v>15</v>
      </c>
      <c r="B16" s="1" t="s">
        <v>383</v>
      </c>
      <c r="C16" s="1" t="s">
        <v>384</v>
      </c>
      <c r="D16" s="73" t="s">
        <v>1072</v>
      </c>
      <c r="E16" s="159">
        <v>2.1</v>
      </c>
    </row>
    <row r="17" spans="1:5">
      <c r="A17" s="9">
        <v>16</v>
      </c>
      <c r="B17" s="1" t="s">
        <v>388</v>
      </c>
      <c r="C17" s="1" t="s">
        <v>389</v>
      </c>
      <c r="D17" s="73" t="s">
        <v>1073</v>
      </c>
      <c r="E17" s="159">
        <v>2.1</v>
      </c>
    </row>
    <row r="18" spans="1:5">
      <c r="A18" s="9">
        <v>17</v>
      </c>
      <c r="B18" s="1" t="s">
        <v>393</v>
      </c>
      <c r="C18" s="1" t="s">
        <v>394</v>
      </c>
      <c r="D18" s="73" t="s">
        <v>1074</v>
      </c>
      <c r="E18" s="159">
        <v>1.9</v>
      </c>
    </row>
    <row r="19" spans="1:5">
      <c r="A19" s="9">
        <v>18</v>
      </c>
      <c r="B19" s="1" t="s">
        <v>398</v>
      </c>
      <c r="C19" s="1" t="s">
        <v>399</v>
      </c>
      <c r="D19" s="73" t="s">
        <v>1075</v>
      </c>
      <c r="E19" s="159">
        <v>1.9</v>
      </c>
    </row>
    <row r="20" spans="1:5">
      <c r="A20" s="9">
        <v>19</v>
      </c>
      <c r="B20" s="1" t="s">
        <v>403</v>
      </c>
      <c r="C20" s="1" t="s">
        <v>404</v>
      </c>
      <c r="D20" s="73" t="s">
        <v>1076</v>
      </c>
      <c r="E20" s="159">
        <v>1.9</v>
      </c>
    </row>
    <row r="21" spans="1:5">
      <c r="A21" s="9">
        <v>20</v>
      </c>
      <c r="B21" s="1" t="s">
        <v>408</v>
      </c>
      <c r="C21" s="1" t="s">
        <v>409</v>
      </c>
      <c r="D21" s="73" t="s">
        <v>1077</v>
      </c>
      <c r="E21" s="159">
        <v>2.2000000000000002</v>
      </c>
    </row>
    <row r="22" spans="1:5">
      <c r="A22" s="9">
        <v>21</v>
      </c>
      <c r="B22" s="1" t="s">
        <v>413</v>
      </c>
      <c r="C22" s="1" t="s">
        <v>414</v>
      </c>
      <c r="D22" s="73" t="s">
        <v>1078</v>
      </c>
      <c r="E22" s="159">
        <v>1.9</v>
      </c>
    </row>
    <row r="23" spans="1:5">
      <c r="A23" s="9">
        <v>22</v>
      </c>
      <c r="B23" s="1" t="s">
        <v>418</v>
      </c>
      <c r="C23" s="1" t="s">
        <v>419</v>
      </c>
      <c r="D23" s="73" t="s">
        <v>1079</v>
      </c>
      <c r="E23" s="159">
        <v>2.2000000000000002</v>
      </c>
    </row>
    <row r="24" spans="1:5">
      <c r="A24" s="9">
        <v>23</v>
      </c>
      <c r="B24" s="1" t="s">
        <v>424</v>
      </c>
      <c r="C24" s="1" t="s">
        <v>425</v>
      </c>
      <c r="D24" s="73" t="s">
        <v>1080</v>
      </c>
      <c r="E24" s="159">
        <v>2.2000000000000002</v>
      </c>
    </row>
    <row r="25" spans="1:5">
      <c r="A25" s="9">
        <v>24</v>
      </c>
      <c r="B25" s="1" t="s">
        <v>429</v>
      </c>
      <c r="C25" s="1" t="s">
        <v>430</v>
      </c>
      <c r="D25" s="73" t="s">
        <v>1081</v>
      </c>
      <c r="E25" s="159">
        <v>1.9</v>
      </c>
    </row>
    <row r="26" spans="1:5">
      <c r="A26" s="9">
        <v>25</v>
      </c>
      <c r="B26" s="1" t="s">
        <v>434</v>
      </c>
      <c r="C26" s="1" t="s">
        <v>435</v>
      </c>
      <c r="D26" s="73" t="s">
        <v>1082</v>
      </c>
      <c r="E26" s="159">
        <v>2.1</v>
      </c>
    </row>
    <row r="27" spans="1:5">
      <c r="A27" s="9">
        <v>26</v>
      </c>
      <c r="B27" s="1" t="s">
        <v>439</v>
      </c>
      <c r="C27" s="1" t="s">
        <v>440</v>
      </c>
      <c r="D27" s="73" t="s">
        <v>1083</v>
      </c>
      <c r="E27" s="159">
        <v>1.9</v>
      </c>
    </row>
    <row r="28" spans="1:5">
      <c r="A28" s="9">
        <v>27</v>
      </c>
      <c r="B28" s="1" t="s">
        <v>444</v>
      </c>
      <c r="C28" s="1" t="s">
        <v>445</v>
      </c>
      <c r="D28" s="73" t="s">
        <v>1084</v>
      </c>
      <c r="E28" s="159">
        <v>2.1</v>
      </c>
    </row>
    <row r="29" spans="1:5">
      <c r="A29" s="9">
        <v>28</v>
      </c>
      <c r="B29" s="1" t="s">
        <v>449</v>
      </c>
      <c r="C29" s="1" t="s">
        <v>450</v>
      </c>
      <c r="D29" s="73" t="s">
        <v>1085</v>
      </c>
      <c r="E29" s="159">
        <v>1.9</v>
      </c>
    </row>
    <row r="30" spans="1:5">
      <c r="A30" s="9">
        <v>29</v>
      </c>
      <c r="B30" s="1" t="s">
        <v>454</v>
      </c>
      <c r="C30" s="1" t="s">
        <v>455</v>
      </c>
      <c r="D30" s="73" t="s">
        <v>1086</v>
      </c>
      <c r="E30" s="159">
        <v>1.9</v>
      </c>
    </row>
    <row r="31" spans="1:5">
      <c r="A31" s="9">
        <v>30</v>
      </c>
      <c r="B31" s="1" t="s">
        <v>459</v>
      </c>
      <c r="C31" s="1" t="s">
        <v>460</v>
      </c>
      <c r="D31" s="73" t="s">
        <v>1087</v>
      </c>
      <c r="E31" s="159">
        <v>1.9</v>
      </c>
    </row>
    <row r="32" spans="1:5">
      <c r="A32" s="9">
        <v>31</v>
      </c>
      <c r="B32" s="1" t="s">
        <v>464</v>
      </c>
      <c r="C32" s="1" t="s">
        <v>465</v>
      </c>
      <c r="D32" s="73" t="s">
        <v>1088</v>
      </c>
      <c r="E32" s="159">
        <v>1.9</v>
      </c>
    </row>
    <row r="33" spans="1:5">
      <c r="A33" s="9">
        <v>32</v>
      </c>
      <c r="B33" s="1" t="s">
        <v>469</v>
      </c>
      <c r="C33" s="1" t="s">
        <v>470</v>
      </c>
      <c r="D33" s="73" t="s">
        <v>1089</v>
      </c>
      <c r="E33" s="159">
        <v>2.2000000000000002</v>
      </c>
    </row>
    <row r="34" spans="1:5">
      <c r="A34" s="9">
        <v>33</v>
      </c>
      <c r="B34" s="1" t="s">
        <v>474</v>
      </c>
      <c r="C34" s="1" t="s">
        <v>475</v>
      </c>
      <c r="D34" s="73" t="s">
        <v>1090</v>
      </c>
      <c r="E34" s="159">
        <v>2.2000000000000002</v>
      </c>
    </row>
    <row r="35" spans="1:5">
      <c r="A35" s="9">
        <v>34</v>
      </c>
      <c r="B35" s="1" t="s">
        <v>479</v>
      </c>
      <c r="C35" s="1" t="s">
        <v>480</v>
      </c>
      <c r="D35" s="73" t="s">
        <v>1091</v>
      </c>
      <c r="E35" s="159">
        <v>1.9</v>
      </c>
    </row>
    <row r="36" spans="1:5">
      <c r="A36" s="9">
        <v>35</v>
      </c>
      <c r="B36" s="1" t="s">
        <v>484</v>
      </c>
      <c r="C36" s="1" t="s">
        <v>485</v>
      </c>
      <c r="D36" s="73" t="s">
        <v>1092</v>
      </c>
      <c r="E36" s="159">
        <v>2.1</v>
      </c>
    </row>
    <row r="37" spans="1:5">
      <c r="A37" s="9">
        <v>36</v>
      </c>
      <c r="B37" s="1" t="s">
        <v>141</v>
      </c>
      <c r="C37" s="1" t="s">
        <v>489</v>
      </c>
      <c r="D37" s="73" t="s">
        <v>1093</v>
      </c>
      <c r="E37" s="159">
        <v>1.9</v>
      </c>
    </row>
    <row r="38" spans="1:5">
      <c r="A38" s="9">
        <v>37</v>
      </c>
      <c r="B38" s="1" t="s">
        <v>493</v>
      </c>
      <c r="C38" s="1" t="s">
        <v>494</v>
      </c>
      <c r="D38" s="73" t="s">
        <v>1094</v>
      </c>
      <c r="E38" s="159">
        <v>2.2999999999999998</v>
      </c>
    </row>
    <row r="39" spans="1:5">
      <c r="A39" s="9">
        <v>38</v>
      </c>
      <c r="B39" s="1" t="s">
        <v>498</v>
      </c>
      <c r="C39" s="1" t="s">
        <v>499</v>
      </c>
      <c r="D39" s="73" t="s">
        <v>1095</v>
      </c>
      <c r="E39" s="159">
        <v>2.2000000000000002</v>
      </c>
    </row>
    <row r="40" spans="1:5">
      <c r="A40" s="9">
        <v>39</v>
      </c>
      <c r="B40" s="1" t="s">
        <v>503</v>
      </c>
      <c r="C40" s="1" t="s">
        <v>504</v>
      </c>
      <c r="D40" s="73" t="s">
        <v>1096</v>
      </c>
      <c r="E40" s="159">
        <v>1.9</v>
      </c>
    </row>
    <row r="41" spans="1:5">
      <c r="A41" s="9">
        <v>40</v>
      </c>
      <c r="B41" s="1" t="s">
        <v>508</v>
      </c>
      <c r="C41" s="1" t="s">
        <v>509</v>
      </c>
      <c r="D41" s="73" t="s">
        <v>1097</v>
      </c>
      <c r="E41" s="159">
        <v>1.9</v>
      </c>
    </row>
    <row r="42" spans="1:5">
      <c r="A42" s="9">
        <v>41</v>
      </c>
      <c r="B42" s="1" t="s">
        <v>513</v>
      </c>
      <c r="C42" s="1" t="s">
        <v>514</v>
      </c>
      <c r="D42" s="73" t="s">
        <v>1098</v>
      </c>
      <c r="E42" s="159">
        <v>1.9</v>
      </c>
    </row>
    <row r="43" spans="1:5">
      <c r="A43" s="9">
        <v>42</v>
      </c>
      <c r="B43" s="1" t="s">
        <v>518</v>
      </c>
      <c r="C43" s="1" t="s">
        <v>519</v>
      </c>
      <c r="D43" s="73" t="s">
        <v>1099</v>
      </c>
      <c r="E43" s="159">
        <v>2.2000000000000002</v>
      </c>
    </row>
    <row r="44" spans="1:5">
      <c r="A44" s="9">
        <v>43</v>
      </c>
      <c r="B44" s="1" t="s">
        <v>523</v>
      </c>
      <c r="C44" s="1" t="s">
        <v>524</v>
      </c>
      <c r="D44" s="73" t="s">
        <v>1100</v>
      </c>
      <c r="E44" s="159">
        <v>1.9</v>
      </c>
    </row>
    <row r="45" spans="1:5">
      <c r="A45" s="9">
        <v>44</v>
      </c>
      <c r="B45" s="1" t="s">
        <v>528</v>
      </c>
      <c r="C45" s="1" t="s">
        <v>529</v>
      </c>
      <c r="D45" s="73" t="s">
        <v>1101</v>
      </c>
      <c r="E45" s="159">
        <v>1.9</v>
      </c>
    </row>
    <row r="46" spans="1:5">
      <c r="A46" s="9">
        <v>45</v>
      </c>
      <c r="B46" s="1" t="s">
        <v>533</v>
      </c>
      <c r="C46" s="1" t="s">
        <v>534</v>
      </c>
      <c r="D46" s="73" t="s">
        <v>1102</v>
      </c>
      <c r="E46" s="159">
        <v>1.9</v>
      </c>
    </row>
    <row r="47" spans="1:5">
      <c r="A47" s="9">
        <v>46</v>
      </c>
      <c r="B47" s="1" t="s">
        <v>538</v>
      </c>
      <c r="C47" s="1" t="s">
        <v>539</v>
      </c>
      <c r="D47" s="73" t="s">
        <v>1103</v>
      </c>
      <c r="E47" s="159">
        <v>2.2000000000000002</v>
      </c>
    </row>
    <row r="48" spans="1:5">
      <c r="A48" s="9">
        <v>47</v>
      </c>
      <c r="B48" s="1" t="s">
        <v>543</v>
      </c>
      <c r="C48" s="1" t="s">
        <v>544</v>
      </c>
      <c r="D48" s="73" t="s">
        <v>1104</v>
      </c>
      <c r="E48" s="159">
        <v>2.2999999999999998</v>
      </c>
    </row>
    <row r="49" spans="1:5">
      <c r="A49" s="9">
        <v>48</v>
      </c>
      <c r="B49" s="1" t="s">
        <v>548</v>
      </c>
      <c r="C49" s="1" t="s">
        <v>549</v>
      </c>
      <c r="D49" s="73" t="s">
        <v>1105</v>
      </c>
      <c r="E49" s="159">
        <v>2.1</v>
      </c>
    </row>
    <row r="50" spans="1:5">
      <c r="A50" s="9">
        <v>49</v>
      </c>
      <c r="B50" s="1" t="s">
        <v>553</v>
      </c>
      <c r="C50" s="1" t="s">
        <v>554</v>
      </c>
      <c r="D50" s="73" t="s">
        <v>1106</v>
      </c>
      <c r="E50" s="159">
        <v>2.2000000000000002</v>
      </c>
    </row>
    <row r="51" spans="1:5">
      <c r="A51" s="13">
        <v>50</v>
      </c>
      <c r="B51" s="14" t="s">
        <v>558</v>
      </c>
      <c r="C51" s="14" t="s">
        <v>559</v>
      </c>
      <c r="D51" s="130" t="s">
        <v>1107</v>
      </c>
      <c r="E51" s="160">
        <v>1.9</v>
      </c>
    </row>
    <row r="52" spans="1:5">
      <c r="E52" s="103"/>
    </row>
    <row r="53" spans="1:5">
      <c r="E53" s="103"/>
    </row>
  </sheetData>
  <hyperlinks>
    <hyperlink ref="D2" r:id="rId1" location="table3-08912424241282425" display="https://journals.sagepub.com/doi/10.1177/08912424241282425 - table3-08912424241282425" xr:uid="{FF8FA120-3200-4EAE-93FE-F351F94FB2E0}"/>
    <hyperlink ref="D3:D51" r:id="rId2" location="table3-08912424241282425" display="https://journals.sagepub.com/doi/10.1177/08912424241282425 - table3-08912424241282425" xr:uid="{1E9461F5-B395-4BB5-8C0C-9ABF07F0C06C}"/>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1F6F4-4446-46B7-923B-357A31D9BE53}">
  <sheetPr>
    <tabColor rgb="FF72B2AF"/>
  </sheetPr>
  <dimension ref="B1:H7"/>
  <sheetViews>
    <sheetView topLeftCell="A6" workbookViewId="0">
      <selection activeCell="C8" sqref="C8"/>
    </sheetView>
  </sheetViews>
  <sheetFormatPr defaultColWidth="8.7109375" defaultRowHeight="14.25"/>
  <cols>
    <col min="1" max="1" width="3.28515625" style="26" customWidth="1"/>
    <col min="2" max="2" width="36.5703125" style="26" customWidth="1"/>
    <col min="3" max="3" width="100.5703125" style="26" customWidth="1"/>
    <col min="4" max="16384" width="8.7109375" style="26"/>
  </cols>
  <sheetData>
    <row r="1" spans="2:8" ht="15" thickBot="1"/>
    <row r="2" spans="2:8" ht="22.15" customHeight="1" thickBot="1">
      <c r="B2" s="318" t="s">
        <v>87</v>
      </c>
      <c r="C2" s="356" t="s">
        <v>125</v>
      </c>
    </row>
    <row r="3" spans="2:8" ht="100.5" thickBot="1">
      <c r="B3" s="319" t="s">
        <v>126</v>
      </c>
      <c r="C3" s="369" t="s">
        <v>127</v>
      </c>
    </row>
    <row r="4" spans="2:8" ht="186.2" thickBot="1">
      <c r="B4" s="319" t="s">
        <v>128</v>
      </c>
      <c r="C4" s="369" t="s">
        <v>129</v>
      </c>
      <c r="H4" s="373"/>
    </row>
    <row r="5" spans="2:8" ht="143.44999999999999" thickBot="1">
      <c r="B5" s="319" t="s">
        <v>130</v>
      </c>
      <c r="C5" s="369" t="s">
        <v>131</v>
      </c>
      <c r="H5" s="372"/>
    </row>
    <row r="6" spans="2:8" ht="214.7" thickBot="1">
      <c r="B6" s="319" t="s">
        <v>132</v>
      </c>
      <c r="C6" s="369" t="s">
        <v>133</v>
      </c>
    </row>
    <row r="7" spans="2:8" ht="243.2" thickBot="1">
      <c r="B7" s="319" t="s">
        <v>134</v>
      </c>
      <c r="C7" s="369" t="s">
        <v>135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E9035-4459-488A-99E3-D1DD20F528F6}">
  <sheetPr>
    <tabColor rgb="FF72B2AF"/>
  </sheetPr>
  <dimension ref="A1:BT162"/>
  <sheetViews>
    <sheetView topLeftCell="A106" zoomScaleNormal="100" workbookViewId="0">
      <selection activeCell="T18" sqref="T18"/>
    </sheetView>
  </sheetViews>
  <sheetFormatPr defaultColWidth="10.85546875" defaultRowHeight="14.25" outlineLevelRow="1"/>
  <cols>
    <col min="1" max="1" width="2.5703125" style="66" customWidth="1"/>
    <col min="2" max="2" width="26.42578125" style="66" customWidth="1"/>
    <col min="3" max="3" width="2.5703125" style="66" customWidth="1"/>
    <col min="4" max="4" width="24.5703125" style="66" customWidth="1"/>
    <col min="5" max="5" width="2.5703125" style="66" customWidth="1"/>
    <col min="6" max="6" width="24.5703125" style="66" customWidth="1"/>
    <col min="7" max="7" width="2.5703125" style="66" customWidth="1"/>
    <col min="8" max="8" width="24.5703125" style="66" customWidth="1"/>
    <col min="9" max="9" width="2.5703125" style="66" customWidth="1"/>
    <col min="10" max="10" width="24.5703125" style="66" customWidth="1"/>
    <col min="11" max="11" width="2.5703125" style="66" customWidth="1"/>
    <col min="12" max="12" width="24.5703125" style="66" customWidth="1"/>
    <col min="13" max="13" width="2.5703125" style="66" customWidth="1"/>
    <col min="14" max="14" width="24.5703125" style="66" customWidth="1"/>
    <col min="15" max="15" width="2.5703125" style="66" customWidth="1"/>
    <col min="16" max="16" width="24.5703125" style="66" customWidth="1"/>
    <col min="17" max="17" width="2.5703125" style="66" customWidth="1"/>
    <col min="18" max="18" width="18.5703125" style="66" customWidth="1"/>
    <col min="19" max="19" width="2.5703125" style="66" customWidth="1"/>
    <col min="20" max="20" width="18.5703125" style="66" customWidth="1"/>
    <col min="21" max="21" width="2.5703125" style="66" customWidth="1"/>
    <col min="22" max="22" width="18.5703125" style="66" customWidth="1"/>
    <col min="23" max="23" width="2.5703125" style="66" customWidth="1"/>
    <col min="24" max="24" width="18.5703125" style="66" customWidth="1"/>
    <col min="25" max="25" width="2.5703125" style="66" customWidth="1"/>
    <col min="26" max="26" width="18.5703125" style="66" customWidth="1"/>
    <col min="27" max="27" width="2.5703125" style="66" customWidth="1"/>
    <col min="28" max="28" width="18.5703125" style="66" customWidth="1"/>
    <col min="29" max="29" width="2.5703125" style="66" customWidth="1"/>
    <col min="30" max="72" width="10.85546875" style="66"/>
    <col min="73" max="16384" width="10.85546875" style="57"/>
  </cols>
  <sheetData>
    <row r="1" spans="2:16" s="66" customFormat="1"/>
    <row r="2" spans="2:16" ht="23.85">
      <c r="B2" s="395" t="s">
        <v>136</v>
      </c>
      <c r="C2" s="395"/>
      <c r="D2" s="395"/>
      <c r="E2" s="395"/>
      <c r="F2" s="395"/>
      <c r="G2" s="395"/>
      <c r="H2" s="395"/>
      <c r="I2" s="395"/>
      <c r="J2" s="395"/>
      <c r="K2" s="395"/>
      <c r="L2" s="395"/>
      <c r="M2" s="395"/>
      <c r="N2" s="395"/>
      <c r="O2" s="395"/>
      <c r="P2" s="395"/>
    </row>
    <row r="3" spans="2:16" ht="49.9" customHeight="1">
      <c r="B3" s="396" t="s">
        <v>137</v>
      </c>
      <c r="C3" s="397"/>
      <c r="D3" s="397"/>
      <c r="E3" s="397"/>
      <c r="F3" s="397"/>
      <c r="G3" s="397"/>
      <c r="H3" s="397"/>
      <c r="I3" s="397"/>
      <c r="J3" s="397"/>
      <c r="K3" s="397"/>
      <c r="L3" s="397"/>
      <c r="M3" s="397"/>
      <c r="N3" s="397"/>
      <c r="O3" s="397"/>
      <c r="P3" s="397"/>
    </row>
    <row r="4" spans="2:16">
      <c r="B4" s="82"/>
      <c r="C4" s="82"/>
      <c r="D4" s="82"/>
      <c r="E4" s="82"/>
      <c r="F4" s="82"/>
      <c r="G4" s="82"/>
      <c r="H4" s="82"/>
      <c r="I4" s="82"/>
      <c r="J4" s="82"/>
      <c r="K4" s="82"/>
      <c r="L4" s="82"/>
      <c r="M4" s="82"/>
      <c r="N4" s="82"/>
      <c r="O4" s="82"/>
      <c r="P4" s="82"/>
    </row>
    <row r="5" spans="2:16" ht="15" thickBot="1">
      <c r="B5" s="398" t="s">
        <v>138</v>
      </c>
      <c r="C5" s="398"/>
      <c r="D5" s="398"/>
      <c r="E5" s="398"/>
      <c r="F5" s="398"/>
      <c r="G5" s="398"/>
      <c r="H5" s="398"/>
      <c r="I5" s="82"/>
      <c r="J5" s="398" t="s">
        <v>139</v>
      </c>
      <c r="K5" s="398"/>
      <c r="L5" s="398"/>
      <c r="M5" s="398"/>
      <c r="N5" s="398"/>
      <c r="O5" s="398"/>
      <c r="P5" s="398"/>
    </row>
    <row r="6" spans="2:16" ht="30.2" customHeight="1" thickBot="1">
      <c r="B6" s="216" t="s">
        <v>140</v>
      </c>
      <c r="C6" s="82"/>
      <c r="D6" s="174" t="s">
        <v>141</v>
      </c>
      <c r="E6" s="26" t="s">
        <v>142</v>
      </c>
      <c r="F6" s="399" t="s">
        <v>143</v>
      </c>
      <c r="G6" s="399"/>
      <c r="H6" s="399"/>
      <c r="I6" s="82"/>
      <c r="J6" s="85" t="s">
        <v>144</v>
      </c>
      <c r="K6" s="82"/>
      <c r="L6" s="85" t="s">
        <v>145</v>
      </c>
      <c r="M6" s="82"/>
      <c r="N6" s="82"/>
      <c r="O6" s="82"/>
      <c r="P6" s="85" t="s">
        <v>146</v>
      </c>
    </row>
    <row r="7" spans="2:16" ht="30.2" customHeight="1" thickBot="1">
      <c r="B7" s="216" t="s">
        <v>147</v>
      </c>
      <c r="C7" s="82"/>
      <c r="D7" s="175" t="s">
        <v>148</v>
      </c>
      <c r="E7" s="26" t="s">
        <v>142</v>
      </c>
      <c r="F7" s="399" t="s">
        <v>149</v>
      </c>
      <c r="G7" s="399"/>
      <c r="H7" s="399"/>
      <c r="I7" s="82"/>
      <c r="J7" s="80" t="s">
        <v>150</v>
      </c>
      <c r="K7" s="82"/>
      <c r="L7" s="83" t="s">
        <v>151</v>
      </c>
      <c r="M7" s="26"/>
      <c r="N7" s="214" t="s">
        <v>152</v>
      </c>
      <c r="O7" s="82"/>
      <c r="P7" s="90" t="s">
        <v>153</v>
      </c>
    </row>
    <row r="8" spans="2:16" ht="30.2" customHeight="1" thickBot="1">
      <c r="B8" s="216" t="s">
        <v>154</v>
      </c>
      <c r="C8" s="82"/>
      <c r="D8" s="175" t="s">
        <v>155</v>
      </c>
      <c r="E8" s="26" t="s">
        <v>142</v>
      </c>
      <c r="F8" s="400" t="s">
        <v>156</v>
      </c>
      <c r="G8" s="400"/>
      <c r="H8" s="400"/>
      <c r="I8" s="82"/>
      <c r="J8" s="81" t="s">
        <v>157</v>
      </c>
      <c r="K8" s="82"/>
      <c r="L8" s="203" t="s">
        <v>158</v>
      </c>
      <c r="M8" s="26"/>
      <c r="N8" s="84" t="s">
        <v>125</v>
      </c>
      <c r="O8" s="82"/>
      <c r="P8" s="82"/>
    </row>
    <row r="9" spans="2:16">
      <c r="B9" s="82"/>
      <c r="C9" s="82"/>
      <c r="D9" s="82"/>
      <c r="E9" s="82"/>
      <c r="F9" s="82"/>
      <c r="G9" s="82"/>
      <c r="H9" s="82"/>
      <c r="I9" s="82"/>
      <c r="J9" s="82"/>
      <c r="K9" s="82"/>
      <c r="L9" s="82"/>
      <c r="M9" s="82"/>
      <c r="N9" s="82"/>
      <c r="O9" s="82"/>
      <c r="P9" s="82"/>
    </row>
    <row r="10" spans="2:16">
      <c r="B10" s="398" t="s">
        <v>159</v>
      </c>
      <c r="C10" s="398"/>
      <c r="D10" s="398"/>
      <c r="E10" s="398"/>
      <c r="F10" s="398"/>
      <c r="G10" s="398"/>
      <c r="H10" s="398"/>
      <c r="I10" s="398"/>
      <c r="J10" s="398"/>
      <c r="K10" s="398"/>
      <c r="L10" s="398"/>
      <c r="M10" s="398"/>
      <c r="N10" s="398"/>
      <c r="O10" s="398"/>
      <c r="P10" s="398"/>
    </row>
    <row r="11" spans="2:16">
      <c r="B11" s="82"/>
      <c r="C11" s="82"/>
      <c r="D11" s="82"/>
      <c r="E11" s="82"/>
      <c r="F11" s="82"/>
      <c r="G11" s="82"/>
      <c r="H11" s="82"/>
      <c r="I11" s="82"/>
      <c r="J11" s="82"/>
      <c r="K11" s="82"/>
      <c r="L11" s="82"/>
      <c r="M11" s="82"/>
      <c r="N11" s="82"/>
      <c r="O11" s="82"/>
      <c r="P11" s="82"/>
    </row>
    <row r="12" spans="2:16" outlineLevel="1">
      <c r="B12" s="401" t="s">
        <v>160</v>
      </c>
      <c r="C12" s="401"/>
      <c r="D12" s="401"/>
      <c r="E12" s="401"/>
      <c r="F12" s="401"/>
      <c r="G12" s="401"/>
      <c r="H12" s="401"/>
      <c r="I12" s="401"/>
      <c r="J12" s="401"/>
      <c r="K12" s="401"/>
      <c r="L12" s="401"/>
      <c r="M12" s="401"/>
      <c r="N12" s="401"/>
      <c r="O12" s="401"/>
      <c r="P12" s="401"/>
    </row>
    <row r="13" spans="2:16" ht="15" outlineLevel="1" thickBot="1"/>
    <row r="14" spans="2:16" ht="45" customHeight="1" outlineLevel="1" thickBot="1">
      <c r="B14" s="59" t="s">
        <v>161</v>
      </c>
      <c r="C14" s="66" t="s">
        <v>162</v>
      </c>
      <c r="D14" s="86" t="str">
        <f>IF($D$8 = "Total", "Total state population", _xlfn.CONCAT("State population enrolled in ",$D$8))</f>
        <v>Total state population</v>
      </c>
      <c r="E14" s="66" t="s">
        <v>163</v>
      </c>
      <c r="F14" s="86" t="s">
        <v>164</v>
      </c>
      <c r="G14" s="66" t="s">
        <v>163</v>
      </c>
      <c r="H14" s="98" t="s">
        <v>165</v>
      </c>
      <c r="N14" s="359" t="s">
        <v>166</v>
      </c>
      <c r="O14" s="360"/>
      <c r="P14" s="361" cm="1">
        <f t="array" ref="P14">_xlfn.IFS($D$7="Only chronic conditions",B15,$D$7="Chronic conditions and FPL",B19,$D$7="Food insecure",B23)</f>
        <v>737102.28290766152</v>
      </c>
    </row>
    <row r="15" spans="2:16" ht="30.2" customHeight="1" outlineLevel="1" thickBot="1">
      <c r="B15" s="69">
        <f>D15*F15*H15</f>
        <v>2211190.5922774854</v>
      </c>
      <c r="C15" s="66" t="s">
        <v>162</v>
      </c>
      <c r="D15" s="67">
        <f>IF($D$8="Total",
   IFERROR(
     INDEX(Demographics!$A$1:$AA$51,
         MATCH(TRIM($D$6), Demographics!$B$1:$B$51, 0),
         MATCH(TRIM("Total state population"), Demographics!$A$1:$AA$1, 0)
  ),     ""
   ),
   IFERROR(
     INDEX('Health insurance data'!$A$1:$AX$51,
            MATCH(TRIM($D$6),'Health insurance data'!$B$1:$B$51,0),
            MATCH(TRIM(_xlfn.CONCAT("Total state population"," (",$D$8,")")),'Health insurance data'!$A$1:$AX$1,0)
     ),
     ""
   )
)</f>
        <v>4095393</v>
      </c>
      <c r="E15" s="66" t="s">
        <v>163</v>
      </c>
      <c r="F15" s="68">
        <f>IF($D$8="Total",
   IFERROR(
     INDEX('Health conditions data'!$A$1:$N$51,
            MATCH(TRIM($D$6),'Health conditions data'!$B$1:$B$51,0),
            MATCH(TRIM(F$14),'Health conditions data'!$A$1:$N$1,0)
     ),
     ""
   ),
   IFERROR(
     INDEX('Health insurance data'!$A$1:$AX$51,
            MATCH(TRIM($D$6),'Health insurance data'!$B$1:$B$51,0),
            MATCH(TRIM(_xlfn.CONCAT($F$14," (",$D$8,")")),'Health insurance data'!$A$1:$AX$1,0)
     ),
     ""
   )
)</f>
        <v>0.60099999999999998</v>
      </c>
      <c r="G15" s="66" t="s">
        <v>163</v>
      </c>
      <c r="H15" s="68">
        <f>IF($D$8="Total",
   IFERROR(
     INDEX('Health conditions data'!$A$1:$N$51,
            MATCH(TRIM($D$6),'Health conditions data'!$B$1:$B$51,0),
            MATCH(TRIM(H$14),'Health conditions data'!$A$1:$N$1,0)
     ),
     ""
   ),
   IFERROR(
     INDEX('Health insurance data'!$A$1:$AX$51,
            MATCH(TRIM($D$6),'Health insurance data'!$B$1:$B$51,0),
            MATCH(TRIM(_xlfn.CONCAT($H$14," (",$D$8,")")),'Health insurance data'!$A$1:$AX$1,0)
     ),
     ""
   )
)</f>
        <v>0.89837182357501844</v>
      </c>
      <c r="N15" s="362" t="s">
        <v>167</v>
      </c>
      <c r="O15" s="363"/>
      <c r="P15" s="364"/>
    </row>
    <row r="16" spans="2:16" ht="14.25" customHeight="1" outlineLevel="1">
      <c r="B16" s="352" t="s">
        <v>168</v>
      </c>
      <c r="C16" s="353"/>
      <c r="D16" s="354" t="s">
        <v>169</v>
      </c>
      <c r="E16" s="355"/>
      <c r="F16" s="354" t="s">
        <v>170</v>
      </c>
      <c r="G16" s="355"/>
      <c r="H16" s="354" t="s">
        <v>170</v>
      </c>
    </row>
    <row r="17" spans="2:18" ht="15" outlineLevel="1" thickBot="1"/>
    <row r="18" spans="2:18" ht="57.75" outlineLevel="1" thickBot="1">
      <c r="B18" s="59" t="s">
        <v>171</v>
      </c>
      <c r="C18" s="66" t="s">
        <v>162</v>
      </c>
      <c r="D18" s="86" t="str">
        <f>IF($D$8 = "Total", "Total state population", _xlfn.CONCAT("State population enrolled in ",$D$8))</f>
        <v>Total state population</v>
      </c>
      <c r="E18" s="66" t="s">
        <v>163</v>
      </c>
      <c r="F18" s="86" t="s">
        <v>172</v>
      </c>
      <c r="G18" s="66" t="s">
        <v>163</v>
      </c>
      <c r="H18" s="86" t="s">
        <v>173</v>
      </c>
      <c r="I18" s="66" t="s">
        <v>163</v>
      </c>
      <c r="J18" s="86" t="s">
        <v>174</v>
      </c>
      <c r="N18" s="102"/>
      <c r="O18" s="102"/>
      <c r="P18" s="102"/>
      <c r="Q18" s="102"/>
      <c r="R18" s="102"/>
    </row>
    <row r="19" spans="2:18" ht="30.2" customHeight="1" outlineLevel="1" thickBot="1">
      <c r="B19" s="69">
        <f>D19*F19*H19*J19</f>
        <v>737102.28290766152</v>
      </c>
      <c r="C19" s="66" t="s">
        <v>162</v>
      </c>
      <c r="D19" s="67">
        <f>IF($D$8="Total",
   IFERROR(
     INDEX(Demographics!$A$1:$AA$51,
         MATCH(TRIM($D$6), Demographics!$B$1:$B$51, 0),
         MATCH(TRIM("Total state population"), Demographics!$A$1:$AA$1, 0)
  ),     ""
   ),
   IFERROR(
     INDEX('Health insurance data'!$A$1:$AX$51,
            MATCH(TRIM($D$6),'Health insurance data'!$B$1:$B$51,0),
            MATCH(TRIM(_xlfn.CONCAT("Total state population"," (",$D$8,")")),'Health insurance data'!$A$1:$AX$1,0)
     ),
     ""
   )
)</f>
        <v>4095393</v>
      </c>
      <c r="E19" s="66" t="s">
        <v>163</v>
      </c>
      <c r="F19" s="68">
        <f>IF($D$8="Total",
   INDEX(Demographics!$A$1:$AF$51,
         MATCH(TRIM($D$6), Demographics!$B$1:$B$51, 0),
         MATCH(TRIM(F$18), Demographics!$A$1:$AF$1, 0)
  ),
   IFERROR(
     INDEX(Demographics!$A$1:$AF$51,
            MATCH(TRIM($D$6),Demographics!$B$1:$B$51, 0),
            MATCH(TRIM(_xlfn.CONCAT($F$18," (",$D$8,")")),Demographics!$A$1:$AF$1,0)
     ),
     ""
   )
)</f>
        <v>0.30435711542213412</v>
      </c>
      <c r="G19" s="66" t="s">
        <v>163</v>
      </c>
      <c r="H19" s="68">
        <f>IF($D$8="Total",
   IFERROR(
     INDEX('Health conditions data'!$A$1:$N$51,
            MATCH(TRIM($D$6),'Health conditions data'!$B$1:$B$51,0),
            MATCH(TRIM(H$18),'Health conditions data'!$A$1:$N$1,0)
     ),
     ""
   ),
   IFERROR(
     INDEX('Health insurance data'!$A$1:$AX$51,
            MATCH(TRIM($D$6),'Health insurance data'!$B$1:$B$51,0),
            MATCH(TRIM(_xlfn.CONCAT($H$18," (",$D$8,")")),'Health insurance data'!$A$1:$AX$1,0)
     ),
     ""
   )
)</f>
        <v>0.62868369351669895</v>
      </c>
      <c r="I19" s="66" t="s">
        <v>163</v>
      </c>
      <c r="J19" s="68">
        <f>IF($D$8="Total",
   IFERROR(
     INDEX('Health conditions data'!$A$1:$N$51,
            MATCH(TRIM($D$6),'Health conditions data'!$B$1:$B$51,0),
            MATCH(TRIM(J$18),'Health conditions data'!$A$1:$N$1,0)
     ),
     ""
   ),
   IFERROR(
     INDEX('Health insurance data'!$A$1:$AX$51,
            MATCH(TRIM($D$6),'Health insurance data'!$B$1:$B$51,0),
            MATCH(TRIM(_xlfn.CONCAT($J$18," (",$D$8,")")),'Health insurance data'!$A$1:$AX$1,0)
     ),
     ""
   )
)</f>
        <v>0.94062500000000004</v>
      </c>
      <c r="N19" s="102"/>
      <c r="O19" s="102"/>
      <c r="P19" s="102"/>
      <c r="Q19" s="102"/>
      <c r="R19" s="102"/>
    </row>
    <row r="20" spans="2:18" ht="14.25" customHeight="1" outlineLevel="1">
      <c r="B20" s="352" t="s">
        <v>168</v>
      </c>
      <c r="C20" s="353"/>
      <c r="D20" s="354" t="s">
        <v>169</v>
      </c>
      <c r="E20" s="355"/>
      <c r="F20" s="354" t="s">
        <v>170</v>
      </c>
      <c r="G20" s="355"/>
      <c r="H20" s="354" t="s">
        <v>170</v>
      </c>
      <c r="J20" s="354" t="s">
        <v>170</v>
      </c>
    </row>
    <row r="21" spans="2:18" ht="14.25" customHeight="1" outlineLevel="1" thickBot="1"/>
    <row r="22" spans="2:18" ht="29.25" outlineLevel="1" thickBot="1">
      <c r="B22" s="59" t="s">
        <v>175</v>
      </c>
      <c r="C22" s="66" t="s">
        <v>162</v>
      </c>
      <c r="D22" s="86" t="s">
        <v>176</v>
      </c>
      <c r="E22" s="66" t="s">
        <v>163</v>
      </c>
      <c r="F22" s="86" t="s">
        <v>177</v>
      </c>
      <c r="H22" s="322"/>
      <c r="J22" s="322"/>
      <c r="N22" s="102"/>
      <c r="O22" s="102"/>
      <c r="P22" s="102"/>
      <c r="Q22" s="102"/>
      <c r="R22" s="102"/>
    </row>
    <row r="23" spans="2:18" ht="30.2" customHeight="1" outlineLevel="1" thickBot="1">
      <c r="B23" s="69">
        <f>IF(OR(ISNUMBER(D23)=FALSE, ISNUMBER(F23)=FALSE), "No available data", D23*F23)</f>
        <v>630690.522</v>
      </c>
      <c r="C23" s="66" t="s">
        <v>162</v>
      </c>
      <c r="D23" s="67">
        <f>IF($D$8="Total",
IFERROR(
INDEX(Demographics!$A$1:$AA$51,
MATCH(TRIM($D$6),Demographics!$B$1:$B$51,0),
MATCH(TRIM("Total state population"),Demographics!$A$1:$AA$1,0)
),""
),"No available data"
)</f>
        <v>4095393</v>
      </c>
      <c r="E23" s="66" t="s">
        <v>163</v>
      </c>
      <c r="F23" s="68">
        <f>IF($D$8="Total",
IFERROR(
INDEX('Health conditions data'!$A$1:$Q$51,
MATCH(TRIM($D$6),'Health conditions data'!$B$1:$B$51,0),
MATCH(TRIM(F$22),'Health conditions data'!$A$1:$Q$1,0)
),
""
),"No available data"
)</f>
        <v>0.154</v>
      </c>
      <c r="H23" s="321"/>
      <c r="J23" s="321"/>
      <c r="N23" s="102"/>
      <c r="O23" s="102"/>
      <c r="P23" s="102"/>
      <c r="Q23" s="102"/>
      <c r="R23" s="102"/>
    </row>
    <row r="24" spans="2:18" ht="24.4" outlineLevel="1">
      <c r="B24" s="352" t="s">
        <v>168</v>
      </c>
      <c r="C24" s="353"/>
      <c r="D24" s="354" t="s">
        <v>169</v>
      </c>
      <c r="F24" s="354" t="s">
        <v>178</v>
      </c>
      <c r="N24" s="102"/>
      <c r="O24" s="102"/>
      <c r="P24" s="102"/>
      <c r="Q24" s="102"/>
      <c r="R24" s="102"/>
    </row>
    <row r="25" spans="2:18" outlineLevel="1">
      <c r="N25" s="102"/>
      <c r="O25" s="102"/>
      <c r="P25" s="102"/>
      <c r="Q25" s="102"/>
      <c r="R25" s="102"/>
    </row>
    <row r="26" spans="2:18">
      <c r="B26" s="401"/>
      <c r="C26" s="401"/>
      <c r="D26" s="401"/>
      <c r="E26" s="401"/>
      <c r="F26" s="401"/>
      <c r="G26" s="401"/>
      <c r="H26" s="401"/>
      <c r="I26" s="401"/>
      <c r="J26" s="401"/>
      <c r="K26" s="401"/>
      <c r="L26" s="401"/>
      <c r="M26" s="401"/>
      <c r="N26" s="401"/>
      <c r="O26" s="401"/>
      <c r="P26" s="401"/>
    </row>
    <row r="28" spans="2:18" outlineLevel="1">
      <c r="B28" s="401" t="s">
        <v>179</v>
      </c>
      <c r="C28" s="401"/>
      <c r="D28" s="401"/>
      <c r="E28" s="401"/>
      <c r="F28" s="401"/>
      <c r="G28" s="401"/>
      <c r="H28" s="401"/>
      <c r="I28" s="401"/>
      <c r="J28" s="401"/>
      <c r="K28" s="401"/>
      <c r="L28" s="401"/>
      <c r="M28" s="401"/>
      <c r="N28" s="401"/>
      <c r="O28" s="401"/>
      <c r="P28" s="401"/>
    </row>
    <row r="29" spans="2:18" ht="15" outlineLevel="1" thickBot="1"/>
    <row r="30" spans="2:18" ht="45" customHeight="1" outlineLevel="1" thickBot="1">
      <c r="B30" s="87" t="s">
        <v>180</v>
      </c>
      <c r="C30" s="66" t="s">
        <v>162</v>
      </c>
      <c r="D30" s="88" t="s">
        <v>181</v>
      </c>
      <c r="E30" s="66" t="s">
        <v>163</v>
      </c>
      <c r="F30" s="89" t="s">
        <v>182</v>
      </c>
      <c r="G30" s="66" t="s">
        <v>163</v>
      </c>
      <c r="H30" s="204" t="s">
        <v>183</v>
      </c>
      <c r="I30" s="66" t="s">
        <v>163</v>
      </c>
      <c r="J30" s="204" t="s">
        <v>184</v>
      </c>
      <c r="K30" s="66" t="s">
        <v>163</v>
      </c>
      <c r="L30" s="86" t="s">
        <v>185</v>
      </c>
    </row>
    <row r="31" spans="2:18" ht="30.2" customHeight="1" outlineLevel="1" thickBot="1">
      <c r="B31" s="93">
        <f>IF(OR(ISNUMBER(D31)=FALSE), "No available data", D31*F31*H31*J31*L31)</f>
        <v>206314928.98585457</v>
      </c>
      <c r="C31" s="66" t="s">
        <v>162</v>
      </c>
      <c r="D31" s="94">
        <f>$P$14</f>
        <v>737102.28290766152</v>
      </c>
      <c r="E31" s="66" t="s">
        <v>163</v>
      </c>
      <c r="F31" s="92">
        <f>IFERROR(
  INDEX('Assumptions data'!$A$1:$V$52,
         MATCH(TRIM($D$6),'Assumptions data'!$B$1:$B$52, 0),
         MATCH(TRIM(F30),'Assumptions data'!$A$1:$V$1, 0)
  ),
  "Not available"
)</f>
        <v>0.1</v>
      </c>
      <c r="G31" s="66" t="s">
        <v>163</v>
      </c>
      <c r="H31" s="205">
        <f>IFERROR(
  INDEX('National data'!$A$2:$Z$53,
         MATCH(TRIM($D$6),'National data'!$B$2:$B$53, 0),
         MATCH(TRIM(H30),'National data'!$A$2:$Z$2, 0)
  ),
  "Not available"
)</f>
        <v>10</v>
      </c>
      <c r="I31" s="66" t="s">
        <v>163</v>
      </c>
      <c r="J31" s="205">
        <f>IFERROR(
  INDEX('National data'!$A$2:$Z$53,
         MATCH(TRIM($D$6),'National data'!$B$2:$B$53, 0),
         MATCH(TRIM(J30),'National data'!$A$2:$Z$2, 0)
  ),
  "Not available"
)</f>
        <v>32</v>
      </c>
      <c r="K31" s="66" t="s">
        <v>163</v>
      </c>
      <c r="L31" s="95">
        <f>IFERROR(
  INDEX('FIM interventions data'!$A$1:$I$52,
         MATCH(TRIM($D$6),'FIM interventions data'!$B$1:$B$52, 0),
         MATCH(TRIM(L$30),'FIM interventions data'!$A$1:$I$1, 0)
  ),
  "Not available"
)</f>
        <v>8.7468750000000046</v>
      </c>
    </row>
    <row r="32" spans="2:18" ht="24.4" outlineLevel="1">
      <c r="B32" s="352" t="s">
        <v>168</v>
      </c>
      <c r="C32" s="353"/>
      <c r="D32" s="352" t="s">
        <v>186</v>
      </c>
      <c r="E32" s="355"/>
      <c r="F32" s="352" t="s">
        <v>125</v>
      </c>
      <c r="G32" s="355"/>
      <c r="H32" s="354" t="s">
        <v>187</v>
      </c>
      <c r="J32" s="354" t="s">
        <v>187</v>
      </c>
      <c r="L32" s="377" t="s">
        <v>188</v>
      </c>
    </row>
    <row r="33" spans="2:12" ht="10.15" customHeight="1" outlineLevel="1" thickBot="1"/>
    <row r="34" spans="2:12" ht="45" customHeight="1" outlineLevel="1" thickBot="1">
      <c r="B34" s="87" t="s">
        <v>189</v>
      </c>
      <c r="C34" s="66" t="s">
        <v>162</v>
      </c>
      <c r="D34" s="88" t="s">
        <v>181</v>
      </c>
      <c r="E34" s="66" t="s">
        <v>163</v>
      </c>
      <c r="F34" s="89" t="s">
        <v>190</v>
      </c>
      <c r="G34" s="66" t="s">
        <v>163</v>
      </c>
      <c r="H34" s="204" t="s">
        <v>191</v>
      </c>
      <c r="I34" s="66" t="s">
        <v>163</v>
      </c>
      <c r="J34" s="204" t="s">
        <v>192</v>
      </c>
      <c r="K34" s="66" t="s">
        <v>163</v>
      </c>
      <c r="L34" s="86" t="s">
        <v>193</v>
      </c>
    </row>
    <row r="35" spans="2:12" ht="30.2" customHeight="1" outlineLevel="1" thickBot="1">
      <c r="B35" s="93">
        <f>IF(OR(ISNUMBER(D35)=FALSE), "No available data", D35*F35*H35*J35*L35)</f>
        <v>280196902.10853803</v>
      </c>
      <c r="C35" s="66" t="s">
        <v>162</v>
      </c>
      <c r="D35" s="94">
        <f>$P$14</f>
        <v>737102.28290766152</v>
      </c>
      <c r="E35" s="66" t="s">
        <v>163</v>
      </c>
      <c r="F35" s="92">
        <f>IFERROR(
  INDEX('Assumptions data'!$A$1:$V$52,
         MATCH(TRIM($D$6),'Assumptions data'!$B$1:$B$52, 0),
         MATCH(TRIM(F34),'Assumptions data'!$A$1:$V$1, 0)
  ),
  "Not available"
)</f>
        <v>0.15</v>
      </c>
      <c r="G35" s="66" t="s">
        <v>163</v>
      </c>
      <c r="H35" s="205">
        <f>IFERROR(
  INDEX('National data'!$A$2:$Z$53,
         MATCH(TRIM($D$6),'National data'!$B$2:$B$53, 0),
         MATCH(TRIM(H34),'National data'!$A$2:$Z$2, 0)
  ),
  "Not available"
)</f>
        <v>1</v>
      </c>
      <c r="I35" s="66" t="s">
        <v>163</v>
      </c>
      <c r="J35" s="205">
        <f>IFERROR(
  INDEX('National data'!$A$2:$Z$53,
         MATCH(TRIM($D$6),'National data'!$B$2:$B$53, 0),
         MATCH(TRIM(J34),'National data'!$A$2:$Z$2, 0)
  ),
  "Not available"
)</f>
        <v>26</v>
      </c>
      <c r="K35" s="66" t="s">
        <v>163</v>
      </c>
      <c r="L35" s="95">
        <f>IFERROR(
  INDEX('FIM interventions data'!$A$1:$I$52,
         MATCH(TRIM($D$6),'FIM interventions data'!$B$1:$B$52, 0),
         MATCH(TRIM(L$34),'FIM interventions data'!$A$1:$I$1, 0)
  ),
  "Not available"
)</f>
        <v>97.47</v>
      </c>
    </row>
    <row r="36" spans="2:12" ht="36.75" outlineLevel="1">
      <c r="B36" s="352" t="s">
        <v>168</v>
      </c>
      <c r="D36" s="352" t="s">
        <v>186</v>
      </c>
      <c r="F36" s="352" t="s">
        <v>125</v>
      </c>
      <c r="H36" s="354" t="s">
        <v>194</v>
      </c>
      <c r="J36" s="354" t="s">
        <v>194</v>
      </c>
      <c r="L36" s="354" t="s">
        <v>195</v>
      </c>
    </row>
    <row r="37" spans="2:12" ht="10.15" customHeight="1" outlineLevel="1" thickBot="1"/>
    <row r="38" spans="2:12" ht="45" customHeight="1" outlineLevel="1" thickBot="1">
      <c r="B38" s="87" t="s">
        <v>196</v>
      </c>
      <c r="C38" s="66" t="s">
        <v>162</v>
      </c>
      <c r="D38" s="88" t="s">
        <v>181</v>
      </c>
      <c r="E38" s="66" t="s">
        <v>163</v>
      </c>
      <c r="F38" s="89" t="s">
        <v>197</v>
      </c>
      <c r="G38" s="66" t="s">
        <v>163</v>
      </c>
      <c r="H38" s="204" t="s">
        <v>198</v>
      </c>
      <c r="I38" s="66" t="s">
        <v>163</v>
      </c>
      <c r="J38" s="204" t="s">
        <v>199</v>
      </c>
      <c r="K38" s="66" t="s">
        <v>163</v>
      </c>
      <c r="L38" s="86" t="s">
        <v>200</v>
      </c>
    </row>
    <row r="39" spans="2:12" ht="30.2" customHeight="1" outlineLevel="1" thickBot="1">
      <c r="B39" s="93">
        <f>IF(OR(ISNUMBER(D39)=FALSE), "No available data", D39*F39*H39*J39*L39)</f>
        <v>172587339.82684863</v>
      </c>
      <c r="C39" s="66" t="s">
        <v>162</v>
      </c>
      <c r="D39" s="94">
        <f>$P$14</f>
        <v>737102.28290766152</v>
      </c>
      <c r="E39" s="66" t="s">
        <v>163</v>
      </c>
      <c r="F39" s="92">
        <f>IFERROR(
  INDEX('Assumptions data'!$A$1:$V$52,
         MATCH(TRIM($D$6),'Assumptions data'!$B$1:$B$52, 0),
         MATCH(TRIM(F38),'Assumptions data'!$A$1:$V$1, 0)
  ),
  "Not available"
)</f>
        <v>0.4</v>
      </c>
      <c r="G39" s="66" t="s">
        <v>163</v>
      </c>
      <c r="H39" s="206">
        <f>IFERROR(
  INDEX('National data'!$A$2:$Z$53,
         MATCH(TRIM($D$6),'National data'!$B$2:$B$53, 0),
         MATCH(TRIM(H38),'National data'!$A$2:$Z$2, 0)
  ),
  "Not available"
)</f>
        <v>0.25</v>
      </c>
      <c r="I39" s="66" t="s">
        <v>163</v>
      </c>
      <c r="J39" s="205">
        <f>IFERROR(
  INDEX('National data'!$A$2:$Z$53,
         MATCH(TRIM($D$6),'National data'!$B$2:$B$53, 0),
         MATCH(TRIM(J38),'National data'!$A$2:$Z$2, 0)
  ),
  "Not available"
)</f>
        <v>52</v>
      </c>
      <c r="K39" s="66" t="s">
        <v>163</v>
      </c>
      <c r="L39" s="95">
        <f>IFERROR(
  INDEX('FIM interventions data'!$A$1:$I$52,
         MATCH(TRIM($D$6),'FIM interventions data'!$B$1:$B$52, 0),
         MATCH(TRIM(L$38),'FIM interventions data'!$A$1:$I$1, 0)
  ),
  "Not available"
)</f>
        <v>45.027500000000003</v>
      </c>
    </row>
    <row r="40" spans="2:12" ht="24.4" outlineLevel="1">
      <c r="B40" s="352" t="s">
        <v>168</v>
      </c>
      <c r="D40" s="352" t="s">
        <v>186</v>
      </c>
      <c r="F40" s="352" t="s">
        <v>125</v>
      </c>
      <c r="H40" s="354" t="s">
        <v>201</v>
      </c>
      <c r="J40" s="354" t="s">
        <v>201</v>
      </c>
      <c r="L40" s="354" t="s">
        <v>201</v>
      </c>
    </row>
    <row r="41" spans="2:12" ht="10.15" customHeight="1" outlineLevel="1" thickBot="1"/>
    <row r="42" spans="2:12" ht="45" customHeight="1" outlineLevel="1" thickBot="1">
      <c r="B42" s="87" t="s">
        <v>202</v>
      </c>
      <c r="C42" s="66" t="s">
        <v>162</v>
      </c>
      <c r="D42" s="88" t="s">
        <v>181</v>
      </c>
      <c r="E42" s="66" t="s">
        <v>163</v>
      </c>
      <c r="F42" s="89" t="s">
        <v>203</v>
      </c>
      <c r="G42" s="66" t="s">
        <v>163</v>
      </c>
      <c r="H42" s="204" t="s">
        <v>204</v>
      </c>
      <c r="I42" s="66" t="s">
        <v>163</v>
      </c>
      <c r="J42" s="204" t="s">
        <v>205</v>
      </c>
      <c r="K42" s="66" t="s">
        <v>163</v>
      </c>
      <c r="L42" s="86" t="s">
        <v>206</v>
      </c>
    </row>
    <row r="43" spans="2:12" ht="30.2" customHeight="1" outlineLevel="1" thickBot="1">
      <c r="B43" s="93">
        <f>IF(OR(ISNUMBER(D43)=FALSE), "No available data", D43*F43*H43*J43*L43)</f>
        <v>208894786.97603127</v>
      </c>
      <c r="C43" s="66" t="s">
        <v>162</v>
      </c>
      <c r="D43" s="94">
        <f>$P$14</f>
        <v>737102.28290766152</v>
      </c>
      <c r="E43" s="66" t="s">
        <v>163</v>
      </c>
      <c r="F43" s="92">
        <f>IFERROR(
  INDEX('Assumptions data'!$A$1:$V$52,
         MATCH(TRIM($D$6),'Assumptions data'!$B$1:$B$52, 0),
         MATCH(TRIM(F42),'Assumptions data'!$A$1:$V$1, 0)
  ),
  "Not available"
)</f>
        <v>0.35</v>
      </c>
      <c r="G43" s="66" t="s">
        <v>163</v>
      </c>
      <c r="H43" s="206">
        <v>0.5</v>
      </c>
      <c r="I43" s="66" t="s">
        <v>163</v>
      </c>
      <c r="J43" s="205">
        <v>52</v>
      </c>
      <c r="K43" s="66" t="s">
        <v>163</v>
      </c>
      <c r="L43" s="95">
        <f>IFERROR(
  INDEX('FIM interventions data'!$A$1:$J$52,
         MATCH(TRIM($D$6),'FIM interventions data'!$B$1:$B$52, 0),
         MATCH(TRIM(L$42),'FIM interventions data'!$A$1:$J$1, 0)
  ),
  "Not available"
)</f>
        <v>31.142857142857142</v>
      </c>
    </row>
    <row r="44" spans="2:12" ht="24.4" outlineLevel="1">
      <c r="B44" s="352" t="s">
        <v>168</v>
      </c>
      <c r="D44" s="352" t="s">
        <v>186</v>
      </c>
      <c r="F44" s="352" t="s">
        <v>125</v>
      </c>
      <c r="H44" s="354" t="s">
        <v>207</v>
      </c>
      <c r="J44" s="354" t="s">
        <v>207</v>
      </c>
      <c r="L44" s="377" t="s">
        <v>208</v>
      </c>
    </row>
    <row r="45" spans="2:12" ht="45" customHeight="1" outlineLevel="1" thickBot="1"/>
    <row r="46" spans="2:12" ht="45" customHeight="1" outlineLevel="1" thickBot="1">
      <c r="B46" s="59" t="s">
        <v>209</v>
      </c>
      <c r="C46" s="66" t="s">
        <v>162</v>
      </c>
      <c r="D46" s="99" t="s">
        <v>180</v>
      </c>
      <c r="E46" s="66" t="s">
        <v>210</v>
      </c>
      <c r="F46" s="99" t="s">
        <v>189</v>
      </c>
      <c r="G46" s="66" t="s">
        <v>210</v>
      </c>
      <c r="H46" s="99" t="s">
        <v>196</v>
      </c>
      <c r="I46" s="66" t="s">
        <v>210</v>
      </c>
      <c r="J46" s="99" t="s">
        <v>202</v>
      </c>
      <c r="L46" s="173"/>
    </row>
    <row r="47" spans="2:12" ht="30.2" customHeight="1" outlineLevel="1" thickBot="1">
      <c r="B47" s="371">
        <f>IF(OR(ISNUMBER(D47)=FALSE, ISNUMBER(F47)=FALSE, ISNUMBER(H47)=FALSE, ISNUMBER(J47)=FALSE), "No available data", D47+F47+H47+J47)</f>
        <v>867993957.89727259</v>
      </c>
      <c r="C47" s="66" t="s">
        <v>162</v>
      </c>
      <c r="D47" s="100">
        <f>$B$31</f>
        <v>206314928.98585457</v>
      </c>
      <c r="E47" s="66" t="s">
        <v>210</v>
      </c>
      <c r="F47" s="100">
        <f>$B$35</f>
        <v>280196902.10853803</v>
      </c>
      <c r="G47" s="66" t="s">
        <v>210</v>
      </c>
      <c r="H47" s="100">
        <f>$B$39</f>
        <v>172587339.82684863</v>
      </c>
      <c r="I47" s="66" t="s">
        <v>210</v>
      </c>
      <c r="J47" s="100">
        <f>$B$43</f>
        <v>208894786.97603127</v>
      </c>
    </row>
    <row r="48" spans="2:12" outlineLevel="1">
      <c r="B48" s="352" t="s">
        <v>168</v>
      </c>
      <c r="D48" s="352" t="s">
        <v>186</v>
      </c>
      <c r="F48" s="352" t="s">
        <v>186</v>
      </c>
      <c r="H48" s="352" t="s">
        <v>186</v>
      </c>
      <c r="J48" s="352" t="s">
        <v>186</v>
      </c>
    </row>
    <row r="49" spans="2:16" outlineLevel="1"/>
    <row r="50" spans="2:16">
      <c r="B50" s="401"/>
      <c r="C50" s="401"/>
      <c r="D50" s="401"/>
      <c r="E50" s="401"/>
      <c r="F50" s="401"/>
      <c r="G50" s="401"/>
      <c r="H50" s="401"/>
      <c r="I50" s="401"/>
      <c r="J50" s="401"/>
      <c r="K50" s="401"/>
      <c r="L50" s="401"/>
      <c r="M50" s="401"/>
      <c r="N50" s="401"/>
      <c r="O50" s="401"/>
      <c r="P50" s="401"/>
    </row>
    <row r="52" spans="2:16">
      <c r="B52" s="398" t="s">
        <v>211</v>
      </c>
      <c r="C52" s="398"/>
      <c r="D52" s="398"/>
      <c r="E52" s="398"/>
      <c r="F52" s="398"/>
      <c r="G52" s="398"/>
      <c r="H52" s="398"/>
      <c r="I52" s="398"/>
      <c r="J52" s="398"/>
      <c r="K52" s="398"/>
      <c r="L52" s="398"/>
      <c r="M52" s="398"/>
      <c r="N52" s="398"/>
      <c r="O52" s="398"/>
      <c r="P52" s="398"/>
    </row>
    <row r="54" spans="2:16" outlineLevel="1">
      <c r="B54" s="401" t="s">
        <v>212</v>
      </c>
      <c r="C54" s="401"/>
      <c r="D54" s="401"/>
      <c r="E54" s="401"/>
      <c r="F54" s="401"/>
      <c r="G54" s="401"/>
      <c r="H54" s="401"/>
      <c r="I54" s="401"/>
      <c r="J54" s="401"/>
      <c r="K54" s="401"/>
      <c r="L54" s="401"/>
      <c r="M54" s="401"/>
      <c r="N54" s="401"/>
      <c r="O54" s="401"/>
      <c r="P54" s="401"/>
    </row>
    <row r="55" spans="2:16" ht="15" outlineLevel="1" thickBot="1"/>
    <row r="56" spans="2:16" ht="45" customHeight="1" outlineLevel="1" thickBot="1">
      <c r="B56" s="87" t="s">
        <v>213</v>
      </c>
      <c r="C56" s="66" t="s">
        <v>162</v>
      </c>
      <c r="D56" s="99" t="s">
        <v>180</v>
      </c>
      <c r="E56" s="66" t="s">
        <v>163</v>
      </c>
      <c r="F56" s="89" t="s">
        <v>214</v>
      </c>
      <c r="G56" s="66" t="s">
        <v>163</v>
      </c>
      <c r="H56" s="89" t="s">
        <v>215</v>
      </c>
    </row>
    <row r="57" spans="2:16" ht="30.2" customHeight="1" outlineLevel="1" thickBot="1">
      <c r="B57" s="93">
        <f>IF(OR(ISNUMBER(D57)=FALSE), "No available data", D57*F57*H57)</f>
        <v>7245475.9959913809</v>
      </c>
      <c r="C57" s="66" t="s">
        <v>162</v>
      </c>
      <c r="D57" s="100">
        <f>$B$31</f>
        <v>206314928.98585457</v>
      </c>
      <c r="E57" s="66" t="s">
        <v>163</v>
      </c>
      <c r="F57" s="92">
        <f>IFERROR(
  INDEX('Assumptions data'!$A$1:$V$52,
         MATCH(TRIM($D$6),'Assumptions data'!$B$1:$B$52, 0),
         MATCH(TRIM(F56),'Assumptions data'!$A$1:$V$1, 0)
  ),
  "Not available"
)</f>
        <v>0.17559262510974538</v>
      </c>
      <c r="G57" s="66" t="s">
        <v>163</v>
      </c>
      <c r="H57" s="215">
        <f>IFERROR(
  INDEX('Local food sourcing'!$A$1:$I$51,
         MATCH(TRIM($D$6),'Local food sourcing'!$B$1:$B$51, 0),
         MATCH(TRIM(H$56),'Local food sourcing'!$A$1:$I$1, 0)
  ),
  "Not available"
)</f>
        <v>0.2</v>
      </c>
    </row>
    <row r="58" spans="2:16" ht="14.85" customHeight="1" outlineLevel="1">
      <c r="B58" s="352" t="s">
        <v>168</v>
      </c>
      <c r="D58" s="352" t="s">
        <v>186</v>
      </c>
      <c r="F58" s="352" t="s">
        <v>125</v>
      </c>
      <c r="H58" s="352" t="s">
        <v>125</v>
      </c>
    </row>
    <row r="59" spans="2:16" ht="4.9000000000000004" customHeight="1" outlineLevel="1" thickBot="1"/>
    <row r="60" spans="2:16" ht="45" customHeight="1" outlineLevel="1" thickBot="1">
      <c r="B60" s="87" t="s">
        <v>216</v>
      </c>
      <c r="C60" s="66" t="s">
        <v>162</v>
      </c>
      <c r="D60" s="99" t="s">
        <v>189</v>
      </c>
      <c r="E60" s="66" t="s">
        <v>163</v>
      </c>
      <c r="F60" s="89" t="s">
        <v>217</v>
      </c>
      <c r="G60" s="66" t="s">
        <v>163</v>
      </c>
      <c r="H60" s="89" t="s">
        <v>218</v>
      </c>
    </row>
    <row r="61" spans="2:16" ht="30.2" customHeight="1" outlineLevel="1" thickBot="1">
      <c r="B61" s="93">
        <f>IF(OR(ISNUMBER(D61)=FALSE), "No available data", D61*F61*H61)</f>
        <v>16728173.260211224</v>
      </c>
      <c r="C61" s="66" t="s">
        <v>162</v>
      </c>
      <c r="D61" s="100">
        <f>$B$35</f>
        <v>280196902.10853803</v>
      </c>
      <c r="E61" s="66" t="s">
        <v>163</v>
      </c>
      <c r="F61" s="92">
        <f>IFERROR(
  INDEX('Assumptions data'!$A$1:$V$52,
         MATCH(TRIM($D$6),'Assumptions data'!$B$1:$B$52, 0),
         MATCH(TRIM(F60),'Assumptions data'!$A$1:$V$1, 0)
  ),
  "Not available"
)</f>
        <v>0.29850746268656714</v>
      </c>
      <c r="G61" s="66" t="s">
        <v>163</v>
      </c>
      <c r="H61" s="215">
        <f>IFERROR(
  INDEX('Local food sourcing'!$A$1:$J$51,
         MATCH(TRIM($D$6),'Local food sourcing'!$B$1:$B$51, 0),
         MATCH(TRIM(H$60),'Local food sourcing'!$A$1:$J$1, 0)
  ),
  "Not available"
)</f>
        <v>0.2</v>
      </c>
    </row>
    <row r="62" spans="2:16" ht="14.85" customHeight="1" outlineLevel="1">
      <c r="B62" s="352" t="s">
        <v>168</v>
      </c>
      <c r="D62" s="352" t="s">
        <v>186</v>
      </c>
      <c r="F62" s="352" t="s">
        <v>125</v>
      </c>
      <c r="H62" s="352" t="s">
        <v>125</v>
      </c>
    </row>
    <row r="63" spans="2:16" ht="4.9000000000000004" customHeight="1" outlineLevel="1" thickBot="1"/>
    <row r="64" spans="2:16" ht="45" customHeight="1" outlineLevel="1" thickBot="1">
      <c r="B64" s="87" t="s">
        <v>219</v>
      </c>
      <c r="C64" s="66" t="s">
        <v>162</v>
      </c>
      <c r="D64" s="99" t="s">
        <v>220</v>
      </c>
      <c r="E64" s="66" t="s">
        <v>163</v>
      </c>
      <c r="F64" s="89" t="s">
        <v>221</v>
      </c>
      <c r="G64" s="66" t="s">
        <v>163</v>
      </c>
      <c r="H64" s="89" t="s">
        <v>222</v>
      </c>
    </row>
    <row r="65" spans="2:16" ht="30.2" customHeight="1" outlineLevel="1" thickBot="1">
      <c r="B65" s="93">
        <f>IF(OR(ISNUMBER(D65)=FALSE), "No available data", D65*F65*H65)</f>
        <v>1035524.0389610918</v>
      </c>
      <c r="C65" s="66" t="s">
        <v>162</v>
      </c>
      <c r="D65" s="100">
        <f>$B$39</f>
        <v>172587339.82684863</v>
      </c>
      <c r="E65" s="66" t="s">
        <v>163</v>
      </c>
      <c r="F65" s="92">
        <f>IFERROR(
  INDEX('Assumptions data'!$A$1:$V$52,
         MATCH(TRIM($D$6),'Assumptions data'!$B$1:$B$52, 0),
         MATCH(TRIM(F64),'Assumptions data'!$A$1:$V$1, 0)
  ),
  "Not available"
)</f>
        <v>0.15</v>
      </c>
      <c r="G65" s="66" t="s">
        <v>163</v>
      </c>
      <c r="H65" s="92">
        <f>IFERROR(
  INDEX('Local food sourcing'!$A$1:$Z$52,
         MATCH(TRIM($D$6),'Local food sourcing'!$B$1:$B$52, 0),
         MATCH(TRIM(H64),'Local food sourcing'!$A$1:$Z$1, 0)
  ),
  "Not available"
)</f>
        <v>0.04</v>
      </c>
    </row>
    <row r="66" spans="2:16" ht="14.85" customHeight="1" outlineLevel="1">
      <c r="B66" s="352" t="s">
        <v>168</v>
      </c>
      <c r="D66" s="352" t="s">
        <v>186</v>
      </c>
      <c r="F66" s="352" t="s">
        <v>125</v>
      </c>
      <c r="H66" s="352" t="s">
        <v>125</v>
      </c>
    </row>
    <row r="67" spans="2:16" ht="4.9000000000000004" customHeight="1" outlineLevel="1" thickBot="1"/>
    <row r="68" spans="2:16" ht="45" customHeight="1" outlineLevel="1" thickBot="1">
      <c r="B68" s="87" t="s">
        <v>223</v>
      </c>
      <c r="C68" s="66" t="s">
        <v>162</v>
      </c>
      <c r="D68" s="99" t="s">
        <v>202</v>
      </c>
      <c r="E68" s="66" t="s">
        <v>163</v>
      </c>
      <c r="F68" s="89" t="s">
        <v>224</v>
      </c>
      <c r="G68" s="66" t="s">
        <v>163</v>
      </c>
      <c r="H68" s="89" t="s">
        <v>225</v>
      </c>
    </row>
    <row r="69" spans="2:16" ht="30.2" customHeight="1" outlineLevel="1" thickBot="1">
      <c r="B69" s="93">
        <f>IF(OR(ISNUMBER(D69)=FALSE), "No available data", D69*F69*H69)</f>
        <v>12471330.565733209</v>
      </c>
      <c r="C69" s="66" t="s">
        <v>162</v>
      </c>
      <c r="D69" s="100">
        <f>$B$43</f>
        <v>208894786.97603127</v>
      </c>
      <c r="E69" s="66" t="s">
        <v>163</v>
      </c>
      <c r="F69" s="92">
        <f>IFERROR(
  INDEX('Assumptions data'!$A$1:$V$52,
         MATCH(TRIM($D$6),'Assumptions data'!$B$1:$B$52, 0),
         MATCH(TRIM(F68),'Assumptions data'!$A$1:$V$1, 0)
  ),
  "Not available"
)</f>
        <v>0.29850746268656714</v>
      </c>
      <c r="G69" s="66" t="s">
        <v>163</v>
      </c>
      <c r="H69" s="92">
        <f>IFERROR(
  INDEX('Local food sourcing'!$A$1:$Z$52,
         MATCH(TRIM($D$6),'Local food sourcing'!$B$1:$B$52, 0),
         MATCH(TRIM(H68),'Local food sourcing'!$A$1:$Z$1, 0)
  ),
  "Not available"
)</f>
        <v>0.2</v>
      </c>
    </row>
    <row r="70" spans="2:16" ht="14.85" customHeight="1" outlineLevel="1">
      <c r="B70" s="352" t="s">
        <v>168</v>
      </c>
      <c r="D70" s="352" t="s">
        <v>186</v>
      </c>
      <c r="F70" s="352" t="s">
        <v>125</v>
      </c>
      <c r="H70" s="352" t="s">
        <v>125</v>
      </c>
    </row>
    <row r="71" spans="2:16" ht="45" customHeight="1" outlineLevel="1" thickBot="1"/>
    <row r="72" spans="2:16" ht="45" customHeight="1" outlineLevel="1" thickBot="1">
      <c r="B72" s="59" t="s">
        <v>226</v>
      </c>
      <c r="C72" s="66" t="s">
        <v>162</v>
      </c>
      <c r="D72" s="99" t="s">
        <v>213</v>
      </c>
      <c r="E72" s="66" t="s">
        <v>210</v>
      </c>
      <c r="F72" s="99" t="s">
        <v>216</v>
      </c>
      <c r="G72" s="66" t="s">
        <v>210</v>
      </c>
      <c r="H72" s="99" t="s">
        <v>219</v>
      </c>
      <c r="I72" s="66" t="s">
        <v>210</v>
      </c>
      <c r="J72" s="99" t="s">
        <v>223</v>
      </c>
    </row>
    <row r="73" spans="2:16" ht="30.2" customHeight="1" outlineLevel="1" thickBot="1">
      <c r="B73" s="371">
        <f>IF(OR(ISNUMBER(D73)=FALSE, ISNUMBER(F73)=FALSE, ISNUMBER(H73)=FALSE, ISNUMBER(J73)=FALSE), "No available data", D73+F73+H73+J73)</f>
        <v>37480503.8608969</v>
      </c>
      <c r="C73" s="66" t="s">
        <v>162</v>
      </c>
      <c r="D73" s="100">
        <f>$B$57</f>
        <v>7245475.9959913809</v>
      </c>
      <c r="E73" s="66" t="s">
        <v>210</v>
      </c>
      <c r="F73" s="100">
        <f>B61</f>
        <v>16728173.260211224</v>
      </c>
      <c r="G73" s="66" t="s">
        <v>210</v>
      </c>
      <c r="H73" s="100">
        <f>$B$65</f>
        <v>1035524.0389610918</v>
      </c>
      <c r="I73" s="66" t="s">
        <v>210</v>
      </c>
      <c r="J73" s="100">
        <f>$B$69</f>
        <v>12471330.565733209</v>
      </c>
    </row>
    <row r="74" spans="2:16" ht="14.85" customHeight="1" outlineLevel="1">
      <c r="B74" s="352" t="s">
        <v>168</v>
      </c>
      <c r="D74" s="352" t="s">
        <v>186</v>
      </c>
      <c r="F74" s="352" t="s">
        <v>186</v>
      </c>
      <c r="H74" s="352" t="s">
        <v>186</v>
      </c>
      <c r="J74" s="352" t="s">
        <v>186</v>
      </c>
    </row>
    <row r="75" spans="2:16" outlineLevel="1"/>
    <row r="76" spans="2:16">
      <c r="B76" s="401"/>
      <c r="C76" s="401"/>
      <c r="D76" s="401"/>
      <c r="E76" s="401"/>
      <c r="F76" s="401"/>
      <c r="G76" s="401"/>
      <c r="H76" s="401"/>
      <c r="I76" s="401"/>
      <c r="J76" s="401"/>
      <c r="K76" s="401"/>
      <c r="L76" s="401"/>
      <c r="M76" s="401"/>
      <c r="N76" s="401"/>
      <c r="O76" s="401"/>
      <c r="P76" s="401"/>
    </row>
    <row r="78" spans="2:16" outlineLevel="1">
      <c r="B78" s="401" t="s">
        <v>227</v>
      </c>
      <c r="C78" s="401"/>
      <c r="D78" s="401"/>
      <c r="E78" s="401"/>
      <c r="F78" s="401"/>
      <c r="G78" s="401"/>
      <c r="H78" s="401"/>
      <c r="I78" s="401"/>
      <c r="J78" s="401"/>
      <c r="K78" s="401"/>
      <c r="L78" s="401"/>
      <c r="M78" s="401"/>
      <c r="N78" s="401"/>
      <c r="O78" s="401"/>
      <c r="P78" s="401"/>
    </row>
    <row r="79" spans="2:16" ht="15" outlineLevel="1" thickBot="1"/>
    <row r="80" spans="2:16" ht="45" customHeight="1" outlineLevel="1" thickBot="1">
      <c r="B80" s="87" t="s">
        <v>228</v>
      </c>
      <c r="C80" s="66" t="s">
        <v>162</v>
      </c>
      <c r="D80" s="99" t="s">
        <v>180</v>
      </c>
      <c r="E80" s="66" t="s">
        <v>163</v>
      </c>
      <c r="F80" s="89" t="s">
        <v>229</v>
      </c>
      <c r="G80" s="66" t="s">
        <v>163</v>
      </c>
      <c r="H80" s="89" t="s">
        <v>230</v>
      </c>
      <c r="I80" s="66" t="s">
        <v>210</v>
      </c>
      <c r="J80" s="88" t="s">
        <v>213</v>
      </c>
      <c r="L80" s="322"/>
    </row>
    <row r="81" spans="2:12" ht="30.2" customHeight="1" outlineLevel="1" thickBot="1">
      <c r="B81" s="93">
        <f>IF(OR(ISNUMBER(D81)=FALSE), "No available data", D81*F81*H81+J81)</f>
        <v>134811137.75041464</v>
      </c>
      <c r="C81" s="66" t="s">
        <v>162</v>
      </c>
      <c r="D81" s="100">
        <f>$B$31</f>
        <v>206314928.98585457</v>
      </c>
      <c r="E81" s="66" t="s">
        <v>163</v>
      </c>
      <c r="F81" s="92">
        <f>IFERROR(
  INDEX('Assumptions data'!$A$1:$V$52,
         MATCH(TRIM($D$6),'Assumptions data'!$B$1:$B$52, 0),
         MATCH(TRIM(F80),'Assumptions data'!$A$1:$V$1, 0)
  ),
  "Not available"
)</f>
        <v>0.82440737489025462</v>
      </c>
      <c r="G81" s="66" t="s">
        <v>163</v>
      </c>
      <c r="H81" s="92">
        <v>0.75</v>
      </c>
      <c r="I81" s="66" t="s">
        <v>210</v>
      </c>
      <c r="J81" s="100">
        <f>$B$57</f>
        <v>7245475.9959913809</v>
      </c>
      <c r="L81" s="374"/>
    </row>
    <row r="82" spans="2:12" ht="14.85" customHeight="1" outlineLevel="1">
      <c r="B82" s="352" t="s">
        <v>168</v>
      </c>
      <c r="D82" s="352" t="s">
        <v>186</v>
      </c>
      <c r="F82" s="352" t="s">
        <v>125</v>
      </c>
      <c r="H82" s="352" t="s">
        <v>186</v>
      </c>
      <c r="J82" s="352" t="s">
        <v>186</v>
      </c>
    </row>
    <row r="83" spans="2:12" ht="4.9000000000000004" customHeight="1" outlineLevel="1" thickBot="1"/>
    <row r="84" spans="2:12" ht="45" customHeight="1" outlineLevel="1" thickBot="1">
      <c r="B84" s="87" t="s">
        <v>231</v>
      </c>
      <c r="C84" s="66" t="s">
        <v>162</v>
      </c>
      <c r="D84" s="99" t="s">
        <v>189</v>
      </c>
      <c r="E84" s="66" t="s">
        <v>163</v>
      </c>
      <c r="F84" s="89" t="s">
        <v>232</v>
      </c>
      <c r="G84" s="66" t="s">
        <v>163</v>
      </c>
      <c r="H84" s="89" t="s">
        <v>233</v>
      </c>
      <c r="I84" s="66" t="s">
        <v>210</v>
      </c>
      <c r="J84" s="88" t="s">
        <v>216</v>
      </c>
      <c r="L84" s="322"/>
    </row>
    <row r="85" spans="2:12" ht="30.2" customHeight="1" outlineLevel="1" thickBot="1">
      <c r="B85" s="93">
        <f>IF(OR(ISNUMBER(D85)=FALSE), "No available data", D85*F85*H85+J85)</f>
        <v>115006191.16395219</v>
      </c>
      <c r="C85" s="66" t="s">
        <v>162</v>
      </c>
      <c r="D85" s="100">
        <f>$B$35</f>
        <v>280196902.10853803</v>
      </c>
      <c r="E85" s="66" t="s">
        <v>163</v>
      </c>
      <c r="F85" s="92">
        <f>IFERROR(
  INDEX('Assumptions data'!$A$1:$V$52,
         MATCH(TRIM($D$6),'Assumptions data'!$B$1:$B$52, 0),
         MATCH(TRIM(F84),'Assumptions data'!$A$1:$V$1, 0)
  ),
  "Not available"
)</f>
        <v>0.70149253731343286</v>
      </c>
      <c r="G85" s="66" t="s">
        <v>163</v>
      </c>
      <c r="H85" s="92">
        <v>0.5</v>
      </c>
      <c r="I85" s="66" t="s">
        <v>210</v>
      </c>
      <c r="J85" s="100">
        <f>$F$73</f>
        <v>16728173.260211224</v>
      </c>
      <c r="L85" s="374"/>
    </row>
    <row r="86" spans="2:12" ht="14.85" customHeight="1" outlineLevel="1">
      <c r="B86" s="352" t="s">
        <v>168</v>
      </c>
      <c r="D86" s="352" t="s">
        <v>186</v>
      </c>
      <c r="F86" s="352" t="s">
        <v>125</v>
      </c>
      <c r="H86" s="352" t="s">
        <v>186</v>
      </c>
      <c r="J86" s="352" t="s">
        <v>186</v>
      </c>
    </row>
    <row r="87" spans="2:12" ht="4.9000000000000004" customHeight="1" outlineLevel="1" thickBot="1"/>
    <row r="88" spans="2:12" ht="45" customHeight="1" outlineLevel="1" thickBot="1">
      <c r="B88" s="87" t="s">
        <v>234</v>
      </c>
      <c r="C88" s="66" t="s">
        <v>162</v>
      </c>
      <c r="D88" s="88" t="s">
        <v>196</v>
      </c>
      <c r="E88" s="66" t="s">
        <v>163</v>
      </c>
      <c r="F88" s="89" t="s">
        <v>235</v>
      </c>
      <c r="G88" s="66" t="s">
        <v>163</v>
      </c>
      <c r="H88" s="89" t="s">
        <v>236</v>
      </c>
      <c r="I88" s="66" t="s">
        <v>210</v>
      </c>
      <c r="J88" s="88" t="s">
        <v>219</v>
      </c>
      <c r="L88" s="322"/>
    </row>
    <row r="89" spans="2:12" ht="30.2" customHeight="1" outlineLevel="1" thickBot="1">
      <c r="B89" s="93">
        <f>IF(OR(ISNUMBER(D89)=FALSE), "No available data", D89*F89*H89+J89)</f>
        <v>8370485.9816021584</v>
      </c>
      <c r="C89" s="66" t="s">
        <v>162</v>
      </c>
      <c r="D89" s="100">
        <f>$B$39</f>
        <v>172587339.82684863</v>
      </c>
      <c r="E89" s="66" t="s">
        <v>163</v>
      </c>
      <c r="F89" s="92">
        <f>IFERROR(
  INDEX('Assumptions data'!$A$1:$V$52,
         MATCH(TRIM($D$6),'Assumptions data'!$B$1:$B$52, 0),
         MATCH(TRIM(F88),'Assumptions data'!$A$1:$V$1, 0)
  ),
  "Not available"
)</f>
        <v>0.85</v>
      </c>
      <c r="G89" s="66" t="s">
        <v>163</v>
      </c>
      <c r="H89" s="92">
        <v>0.05</v>
      </c>
      <c r="I89" s="66" t="s">
        <v>210</v>
      </c>
      <c r="J89" s="100">
        <f>$B$65</f>
        <v>1035524.0389610918</v>
      </c>
      <c r="L89" s="374"/>
    </row>
    <row r="90" spans="2:12" ht="14.85" customHeight="1" outlineLevel="1">
      <c r="B90" s="352" t="s">
        <v>168</v>
      </c>
      <c r="D90" s="352" t="s">
        <v>186</v>
      </c>
      <c r="F90" s="352" t="s">
        <v>125</v>
      </c>
      <c r="H90" s="352" t="s">
        <v>186</v>
      </c>
      <c r="J90" s="352" t="s">
        <v>186</v>
      </c>
    </row>
    <row r="91" spans="2:12" ht="4.9000000000000004" customHeight="1" outlineLevel="1" thickBot="1"/>
    <row r="92" spans="2:12" ht="45" customHeight="1" outlineLevel="1" thickBot="1">
      <c r="B92" s="87" t="s">
        <v>237</v>
      </c>
      <c r="C92" s="66" t="s">
        <v>162</v>
      </c>
      <c r="D92" s="88" t="s">
        <v>202</v>
      </c>
      <c r="E92" s="66" t="s">
        <v>163</v>
      </c>
      <c r="F92" s="89" t="s">
        <v>238</v>
      </c>
      <c r="G92" s="66" t="s">
        <v>163</v>
      </c>
      <c r="H92" s="89" t="s">
        <v>239</v>
      </c>
      <c r="I92" s="66" t="s">
        <v>210</v>
      </c>
      <c r="J92" s="88" t="s">
        <v>223</v>
      </c>
      <c r="L92" s="322"/>
    </row>
    <row r="93" spans="2:12" ht="30.2" customHeight="1" outlineLevel="1" thickBot="1">
      <c r="B93" s="93">
        <f>IF(OR(ISNUMBER(D93)=FALSE), "No available data", D93*F93*H93+J93)</f>
        <v>85740397.639415815</v>
      </c>
      <c r="C93" s="66" t="s">
        <v>162</v>
      </c>
      <c r="D93" s="100">
        <f>$B$43</f>
        <v>208894786.97603127</v>
      </c>
      <c r="E93" s="66" t="s">
        <v>163</v>
      </c>
      <c r="F93" s="92">
        <f>IFERROR(
  INDEX('Assumptions data'!$A$1:$V$52,
         MATCH(TRIM($D$6),'Assumptions data'!$B$1:$B$52, 0),
         MATCH(TRIM(F92),'Assumptions data'!$A$1:$V$1, 0)
  ),
  "Not available"
)</f>
        <v>0.70149253731343286</v>
      </c>
      <c r="G93" s="66" t="s">
        <v>163</v>
      </c>
      <c r="H93" s="92">
        <v>0.5</v>
      </c>
      <c r="I93" s="66" t="s">
        <v>210</v>
      </c>
      <c r="J93" s="100">
        <f>$B$69</f>
        <v>12471330.565733209</v>
      </c>
      <c r="L93" s="374"/>
    </row>
    <row r="94" spans="2:12" ht="14.85" customHeight="1" outlineLevel="1">
      <c r="B94" s="352" t="s">
        <v>168</v>
      </c>
      <c r="D94" s="352" t="s">
        <v>186</v>
      </c>
      <c r="F94" s="352" t="s">
        <v>125</v>
      </c>
      <c r="H94" s="352" t="s">
        <v>125</v>
      </c>
      <c r="J94" s="352" t="s">
        <v>186</v>
      </c>
    </row>
    <row r="95" spans="2:12" ht="45" customHeight="1" outlineLevel="1" thickBot="1"/>
    <row r="96" spans="2:12" ht="45" customHeight="1" outlineLevel="1" thickBot="1">
      <c r="B96" s="59" t="s">
        <v>240</v>
      </c>
      <c r="C96" s="66" t="s">
        <v>162</v>
      </c>
      <c r="D96" s="88" t="s">
        <v>228</v>
      </c>
      <c r="E96" s="66" t="s">
        <v>210</v>
      </c>
      <c r="F96" s="88" t="s">
        <v>231</v>
      </c>
      <c r="G96" s="66" t="s">
        <v>210</v>
      </c>
      <c r="H96" s="88" t="s">
        <v>234</v>
      </c>
      <c r="I96" s="66" t="s">
        <v>210</v>
      </c>
      <c r="J96" s="88" t="s">
        <v>237</v>
      </c>
    </row>
    <row r="97" spans="2:16" ht="30.2" customHeight="1" outlineLevel="1" thickBot="1">
      <c r="B97" s="371">
        <f>IF(OR(ISNUMBER(D97)=FALSE, ISNUMBER(F97)=FALSE, ISNUMBER(H97)=FALSE, ISNUMBER(J97)=FALSE), "No available data", D97+F97+H97+J97)</f>
        <v>343928212.53538483</v>
      </c>
      <c r="C97" s="66" t="s">
        <v>162</v>
      </c>
      <c r="D97" s="100">
        <f>$B$81</f>
        <v>134811137.75041464</v>
      </c>
      <c r="E97" s="66" t="s">
        <v>210</v>
      </c>
      <c r="F97" s="100">
        <f>$B$85</f>
        <v>115006191.16395219</v>
      </c>
      <c r="G97" s="66" t="s">
        <v>210</v>
      </c>
      <c r="H97" s="100">
        <f>$B$89</f>
        <v>8370485.9816021584</v>
      </c>
      <c r="I97" s="66" t="s">
        <v>210</v>
      </c>
      <c r="J97" s="100">
        <f>$B$93</f>
        <v>85740397.639415815</v>
      </c>
    </row>
    <row r="98" spans="2:16" outlineLevel="1">
      <c r="B98" s="352" t="s">
        <v>168</v>
      </c>
      <c r="D98" s="352" t="s">
        <v>186</v>
      </c>
      <c r="F98" s="352" t="s">
        <v>186</v>
      </c>
      <c r="H98" s="352" t="s">
        <v>186</v>
      </c>
      <c r="J98" s="352" t="s">
        <v>186</v>
      </c>
    </row>
    <row r="99" spans="2:16" outlineLevel="1"/>
    <row r="100" spans="2:16">
      <c r="B100" s="401"/>
      <c r="C100" s="401"/>
      <c r="D100" s="401"/>
      <c r="E100" s="401"/>
      <c r="F100" s="401"/>
      <c r="G100" s="401"/>
      <c r="H100" s="401"/>
      <c r="I100" s="401"/>
      <c r="J100" s="401"/>
      <c r="K100" s="401"/>
      <c r="L100" s="401"/>
      <c r="M100" s="401"/>
      <c r="N100" s="401"/>
      <c r="O100" s="401"/>
      <c r="P100" s="401"/>
    </row>
    <row r="102" spans="2:16" outlineLevel="1">
      <c r="B102" s="401" t="s">
        <v>241</v>
      </c>
      <c r="C102" s="401"/>
      <c r="D102" s="401"/>
      <c r="E102" s="401"/>
      <c r="F102" s="401"/>
      <c r="G102" s="401"/>
      <c r="H102" s="401"/>
      <c r="I102" s="401"/>
      <c r="J102" s="401"/>
      <c r="K102" s="401"/>
      <c r="L102" s="401"/>
      <c r="M102" s="401"/>
      <c r="N102" s="401"/>
      <c r="O102" s="401"/>
      <c r="P102" s="401"/>
    </row>
    <row r="103" spans="2:16" ht="15" outlineLevel="1" thickBot="1"/>
    <row r="104" spans="2:16" ht="45" customHeight="1" outlineLevel="1" thickBot="1">
      <c r="B104" s="87" t="s">
        <v>242</v>
      </c>
      <c r="C104" s="66" t="s">
        <v>162</v>
      </c>
      <c r="D104" s="99" t="s">
        <v>213</v>
      </c>
      <c r="E104" s="66" t="s">
        <v>243</v>
      </c>
      <c r="F104" s="204" t="s">
        <v>244</v>
      </c>
      <c r="G104" s="115"/>
      <c r="H104" s="116"/>
      <c r="I104" s="115"/>
      <c r="J104" s="115"/>
    </row>
    <row r="105" spans="2:16" ht="30.2" customHeight="1" outlineLevel="1" thickBot="1">
      <c r="B105" s="376">
        <f>IF(OR(ISNUMBER(D105)=FALSE), "No available data", D105/F105)</f>
        <v>2070135.9988546802</v>
      </c>
      <c r="C105" s="66" t="s">
        <v>162</v>
      </c>
      <c r="D105" s="100">
        <f>$B$57</f>
        <v>7245475.9959913809</v>
      </c>
      <c r="E105" s="66" t="s">
        <v>243</v>
      </c>
      <c r="F105" s="207">
        <f>IFERROR(
  INDEX('National data'!$A$2:$Z$53,
         MATCH(TRIM($D$6),'National data'!$B$2:$B$53, 0),
         MATCH(TRIM(F104),'National data'!$A$2:$Z$2, 0)
  ),
  "Not available"
)</f>
        <v>3.5</v>
      </c>
      <c r="G105" s="115"/>
      <c r="H105" s="117"/>
      <c r="I105" s="115"/>
      <c r="J105" s="115"/>
    </row>
    <row r="106" spans="2:16" ht="36.75" outlineLevel="1">
      <c r="B106" s="352" t="s">
        <v>168</v>
      </c>
      <c r="D106" s="352" t="s">
        <v>186</v>
      </c>
      <c r="F106" s="354" t="s">
        <v>245</v>
      </c>
      <c r="G106" s="115"/>
      <c r="H106" s="115"/>
      <c r="I106" s="115"/>
      <c r="J106" s="115"/>
    </row>
    <row r="107" spans="2:16" ht="4.9000000000000004" customHeight="1" outlineLevel="1" thickBot="1">
      <c r="G107" s="115"/>
      <c r="H107" s="115"/>
      <c r="I107" s="115"/>
      <c r="J107" s="115"/>
    </row>
    <row r="108" spans="2:16" ht="45" customHeight="1" outlineLevel="1" thickBot="1">
      <c r="B108" s="87" t="s">
        <v>246</v>
      </c>
      <c r="C108" s="66" t="s">
        <v>162</v>
      </c>
      <c r="D108" s="99" t="s">
        <v>216</v>
      </c>
      <c r="E108" s="66" t="s">
        <v>243</v>
      </c>
      <c r="F108" s="204" t="s">
        <v>247</v>
      </c>
      <c r="G108" s="115"/>
      <c r="H108" s="116"/>
      <c r="I108" s="115"/>
      <c r="J108" s="115"/>
    </row>
    <row r="109" spans="2:16" ht="30.2" customHeight="1" outlineLevel="1" thickBot="1">
      <c r="B109" s="376">
        <f>IF(OR(ISNUMBER(D109)=FALSE), "No available data", D109/F109)</f>
        <v>4779478.0743460637</v>
      </c>
      <c r="C109" s="66" t="s">
        <v>162</v>
      </c>
      <c r="D109" s="100">
        <f>$B$61</f>
        <v>16728173.260211224</v>
      </c>
      <c r="E109" s="66" t="s">
        <v>243</v>
      </c>
      <c r="F109" s="207">
        <f>IFERROR(
  INDEX('National data'!$A$2:$Z$53,
         MATCH(TRIM($D$6),'National data'!$B$2:$B$53, 0),
         MATCH(TRIM(F108),'National data'!$A$2:$Z$2, 0)
  ),
  "Not available"
)</f>
        <v>3.5</v>
      </c>
      <c r="G109" s="115"/>
      <c r="H109" s="117"/>
      <c r="I109" s="115"/>
      <c r="J109" s="115"/>
    </row>
    <row r="110" spans="2:16" ht="36.75" outlineLevel="1">
      <c r="B110" s="352" t="s">
        <v>168</v>
      </c>
      <c r="D110" s="352" t="s">
        <v>186</v>
      </c>
      <c r="F110" s="354" t="s">
        <v>245</v>
      </c>
      <c r="G110" s="115"/>
      <c r="H110" s="115"/>
      <c r="I110" s="115"/>
      <c r="J110" s="115"/>
    </row>
    <row r="111" spans="2:16" ht="4.9000000000000004" customHeight="1" outlineLevel="1" thickBot="1">
      <c r="G111" s="115"/>
      <c r="H111" s="115"/>
      <c r="I111" s="115"/>
      <c r="J111" s="115"/>
    </row>
    <row r="112" spans="2:16" ht="45" customHeight="1" outlineLevel="1" thickBot="1">
      <c r="B112" s="87" t="s">
        <v>248</v>
      </c>
      <c r="C112" s="66" t="s">
        <v>162</v>
      </c>
      <c r="D112" s="99" t="s">
        <v>219</v>
      </c>
      <c r="E112" s="66" t="s">
        <v>243</v>
      </c>
      <c r="F112" s="204" t="s">
        <v>247</v>
      </c>
      <c r="G112" s="115"/>
      <c r="H112" s="116"/>
      <c r="I112" s="115"/>
      <c r="J112" s="115"/>
    </row>
    <row r="113" spans="2:16" ht="30.2" customHeight="1" outlineLevel="1" thickBot="1">
      <c r="B113" s="376">
        <f>IF(OR(ISNUMBER(D113)=FALSE), "No available data", D113/F113)</f>
        <v>295864.01113174052</v>
      </c>
      <c r="C113" s="66" t="s">
        <v>162</v>
      </c>
      <c r="D113" s="100">
        <f>$B$65</f>
        <v>1035524.0389610918</v>
      </c>
      <c r="E113" s="66" t="s">
        <v>243</v>
      </c>
      <c r="F113" s="207">
        <f>IFERROR(
  INDEX('National data'!$A$2:$Z$53,
         MATCH(TRIM($D$6),'National data'!$B$2:$B$53, 0),
         MATCH(TRIM(F112),'National data'!$A$2:$Z$2, 0)
  ),
  "Not available"
)</f>
        <v>3.5</v>
      </c>
      <c r="G113" s="115"/>
      <c r="H113" s="117"/>
      <c r="I113" s="115"/>
      <c r="J113" s="115"/>
    </row>
    <row r="114" spans="2:16" ht="36.75" outlineLevel="1">
      <c r="B114" s="352" t="s">
        <v>168</v>
      </c>
      <c r="D114" s="352" t="s">
        <v>186</v>
      </c>
      <c r="F114" s="354" t="s">
        <v>245</v>
      </c>
      <c r="G114" s="115"/>
      <c r="H114" s="115"/>
      <c r="I114" s="115"/>
      <c r="J114" s="115"/>
    </row>
    <row r="115" spans="2:16" ht="4.9000000000000004" customHeight="1" outlineLevel="1" thickBot="1">
      <c r="G115" s="115"/>
      <c r="H115" s="115"/>
      <c r="I115" s="115"/>
      <c r="J115" s="115"/>
    </row>
    <row r="116" spans="2:16" ht="45" customHeight="1" outlineLevel="1" thickBot="1">
      <c r="B116" s="87" t="s">
        <v>249</v>
      </c>
      <c r="C116" s="66" t="s">
        <v>162</v>
      </c>
      <c r="D116" s="99" t="s">
        <v>223</v>
      </c>
      <c r="E116" s="66" t="s">
        <v>243</v>
      </c>
      <c r="F116" s="204" t="s">
        <v>247</v>
      </c>
      <c r="G116" s="115"/>
      <c r="H116" s="116"/>
      <c r="I116" s="115"/>
      <c r="J116" s="115"/>
    </row>
    <row r="117" spans="2:16" ht="30.2" customHeight="1" outlineLevel="1" thickBot="1">
      <c r="B117" s="376">
        <f>IF(OR(ISNUMBER(D117)=FALSE), "No available data", D117/F117)</f>
        <v>3563237.3044952028</v>
      </c>
      <c r="C117" s="66" t="s">
        <v>162</v>
      </c>
      <c r="D117" s="100">
        <f>$B$69</f>
        <v>12471330.565733209</v>
      </c>
      <c r="E117" s="66" t="s">
        <v>243</v>
      </c>
      <c r="F117" s="207">
        <f>IFERROR(
  INDEX('National data'!$A$2:$Z$53,
         MATCH(TRIM($D$6),'National data'!$B$2:$B$53, 0),
         MATCH(TRIM(F116),'National data'!$A$2:$Z$2, 0)
  ),
  "Not available"
)</f>
        <v>3.5</v>
      </c>
      <c r="G117" s="115"/>
      <c r="H117" s="117"/>
      <c r="I117" s="115"/>
      <c r="J117" s="115"/>
    </row>
    <row r="118" spans="2:16" ht="36.75" outlineLevel="1">
      <c r="B118" s="352" t="s">
        <v>168</v>
      </c>
      <c r="D118" s="352" t="s">
        <v>186</v>
      </c>
      <c r="F118" s="354" t="s">
        <v>245</v>
      </c>
    </row>
    <row r="119" spans="2:16" ht="45" customHeight="1" outlineLevel="1" thickBot="1"/>
    <row r="120" spans="2:16" ht="45" customHeight="1" outlineLevel="1" thickBot="1">
      <c r="B120" s="59" t="s">
        <v>250</v>
      </c>
      <c r="C120" s="66" t="s">
        <v>162</v>
      </c>
      <c r="D120" s="88" t="s">
        <v>242</v>
      </c>
      <c r="E120" s="66" t="s">
        <v>210</v>
      </c>
      <c r="F120" s="88" t="s">
        <v>246</v>
      </c>
      <c r="G120" s="66" t="s">
        <v>210</v>
      </c>
      <c r="H120" s="88" t="s">
        <v>248</v>
      </c>
      <c r="I120" s="66" t="s">
        <v>210</v>
      </c>
      <c r="J120" s="88" t="s">
        <v>249</v>
      </c>
    </row>
    <row r="121" spans="2:16" ht="30.2" customHeight="1" outlineLevel="1" thickBot="1">
      <c r="B121" s="69">
        <f>IF(OR(ISNUMBER(D121)=FALSE, ISNUMBER(F121)=FALSE, ISNUMBER(H121)=FALSE, ISNUMBER(J121)=FALSE), "No available data", D121+F121+H121+J121)</f>
        <v>10708715.388827687</v>
      </c>
      <c r="C121" s="66" t="s">
        <v>162</v>
      </c>
      <c r="D121" s="172">
        <f>$B$105</f>
        <v>2070135.9988546802</v>
      </c>
      <c r="E121" s="66" t="s">
        <v>210</v>
      </c>
      <c r="F121" s="172">
        <f>$B$109</f>
        <v>4779478.0743460637</v>
      </c>
      <c r="G121" s="66" t="s">
        <v>210</v>
      </c>
      <c r="H121" s="172">
        <f>$B$113</f>
        <v>295864.01113174052</v>
      </c>
      <c r="I121" s="66" t="s">
        <v>210</v>
      </c>
      <c r="J121" s="172">
        <f>$B$117</f>
        <v>3563237.3044952028</v>
      </c>
    </row>
    <row r="122" spans="2:16" ht="14.25" customHeight="1" outlineLevel="1">
      <c r="B122" s="352" t="s">
        <v>168</v>
      </c>
      <c r="D122" s="352" t="s">
        <v>186</v>
      </c>
      <c r="F122" s="352" t="s">
        <v>186</v>
      </c>
      <c r="H122" s="352" t="s">
        <v>186</v>
      </c>
      <c r="J122" s="352" t="s">
        <v>186</v>
      </c>
    </row>
    <row r="123" spans="2:16" outlineLevel="1"/>
    <row r="124" spans="2:16">
      <c r="B124" s="401"/>
      <c r="C124" s="401"/>
      <c r="D124" s="401"/>
      <c r="E124" s="401"/>
      <c r="F124" s="401"/>
      <c r="G124" s="401"/>
      <c r="H124" s="401"/>
      <c r="I124" s="401"/>
      <c r="J124" s="401"/>
      <c r="K124" s="401"/>
      <c r="L124" s="401"/>
      <c r="M124" s="401"/>
      <c r="N124" s="401"/>
      <c r="O124" s="401"/>
      <c r="P124" s="401"/>
    </row>
    <row r="126" spans="2:16">
      <c r="B126" s="398" t="s">
        <v>251</v>
      </c>
      <c r="C126" s="398"/>
      <c r="D126" s="398"/>
      <c r="E126" s="398"/>
      <c r="F126" s="398"/>
      <c r="G126" s="398"/>
      <c r="H126" s="398"/>
      <c r="I126" s="398"/>
      <c r="J126" s="398"/>
      <c r="K126" s="398"/>
      <c r="L126" s="398"/>
      <c r="M126" s="398"/>
      <c r="N126" s="398"/>
      <c r="O126" s="398"/>
      <c r="P126" s="398"/>
    </row>
    <row r="128" spans="2:16" outlineLevel="1">
      <c r="B128" s="401" t="s">
        <v>252</v>
      </c>
      <c r="C128" s="401"/>
      <c r="D128" s="401"/>
      <c r="E128" s="401"/>
      <c r="F128" s="401"/>
      <c r="G128" s="401"/>
      <c r="H128" s="401"/>
      <c r="I128" s="401"/>
      <c r="J128" s="401"/>
      <c r="K128" s="401"/>
      <c r="L128" s="401"/>
      <c r="M128" s="401"/>
      <c r="N128" s="401"/>
      <c r="O128" s="401"/>
      <c r="P128" s="401"/>
    </row>
    <row r="129" spans="2:10" ht="15" outlineLevel="1" thickBot="1"/>
    <row r="130" spans="2:10" ht="45" customHeight="1" outlineLevel="1" thickBot="1">
      <c r="B130" s="59" t="s">
        <v>253</v>
      </c>
      <c r="C130" s="66" t="s">
        <v>162</v>
      </c>
      <c r="D130" s="88" t="s">
        <v>226</v>
      </c>
      <c r="E130" s="66" t="s">
        <v>163</v>
      </c>
      <c r="F130" s="86" t="s">
        <v>254</v>
      </c>
    </row>
    <row r="131" spans="2:10" ht="30.2" customHeight="1" outlineLevel="1" thickBot="1">
      <c r="B131" s="371">
        <f>IF(OR(ISNUMBER(D131)=FALSE), "No available data", D131*F131)</f>
        <v>9505815.8426433876</v>
      </c>
      <c r="C131" s="66" t="s">
        <v>162</v>
      </c>
      <c r="D131" s="100">
        <f>$B$73</f>
        <v>37480503.8608969</v>
      </c>
      <c r="E131" s="66" t="s">
        <v>163</v>
      </c>
      <c r="F131" s="97">
        <f>IFERROR(
  INDEX('Farms proportions'!$A$2:$AL$52,
         MATCH(TRIM($D$6),'Farms proportions'!$B$2:$B$52, 0),
         MATCH(TRIM(F$130),'Farms proportions'!$A$2:$AL$2, 0)
  ),
  "Not available"
)</f>
        <v>0.2536202789034735</v>
      </c>
    </row>
    <row r="132" spans="2:10" ht="24.4" outlineLevel="1">
      <c r="B132" s="352" t="s">
        <v>168</v>
      </c>
      <c r="D132" s="352" t="s">
        <v>186</v>
      </c>
      <c r="F132" s="354" t="s">
        <v>255</v>
      </c>
    </row>
    <row r="133" spans="2:10" ht="4.9000000000000004" customHeight="1" outlineLevel="1" thickBot="1"/>
    <row r="134" spans="2:10" ht="45" customHeight="1" outlineLevel="1" thickBot="1">
      <c r="B134" s="59" t="s">
        <v>256</v>
      </c>
      <c r="C134" s="66" t="s">
        <v>162</v>
      </c>
      <c r="D134" s="88" t="s">
        <v>226</v>
      </c>
      <c r="E134" s="66" t="s">
        <v>163</v>
      </c>
      <c r="F134" s="86" t="s">
        <v>257</v>
      </c>
    </row>
    <row r="135" spans="2:10" ht="30.2" customHeight="1" outlineLevel="1" thickBot="1">
      <c r="B135" s="371">
        <f>IF(OR(ISNUMBER(D135)=FALSE), "No available data", D135*F135)</f>
        <v>17503510.354974754</v>
      </c>
      <c r="C135" s="66" t="s">
        <v>162</v>
      </c>
      <c r="D135" s="100">
        <f>$B$73</f>
        <v>37480503.8608969</v>
      </c>
      <c r="E135" s="66" t="s">
        <v>163</v>
      </c>
      <c r="F135" s="97">
        <f>IFERROR(
  INDEX('Farms proportions'!$A$2:$AL$52,
         MATCH(TRIM($D$6),'Farms proportions'!$B$2:$B$52, 0),
         MATCH(TRIM(F$134),'Farms proportions'!$A$2:$AL$2, 0)
  ),
  "Not available"
)</f>
        <v>0.46700306964752469</v>
      </c>
    </row>
    <row r="136" spans="2:10" ht="24.4" outlineLevel="1">
      <c r="B136" s="352" t="s">
        <v>168</v>
      </c>
      <c r="D136" s="352" t="s">
        <v>186</v>
      </c>
      <c r="F136" s="354" t="s">
        <v>255</v>
      </c>
    </row>
    <row r="137" spans="2:10" ht="4.9000000000000004" customHeight="1" outlineLevel="1" thickBot="1"/>
    <row r="138" spans="2:10" ht="45" customHeight="1" outlineLevel="1" thickBot="1">
      <c r="B138" s="59" t="s">
        <v>258</v>
      </c>
      <c r="C138" s="66" t="s">
        <v>162</v>
      </c>
      <c r="D138" s="88" t="s">
        <v>253</v>
      </c>
      <c r="E138" s="91" t="s">
        <v>243</v>
      </c>
      <c r="F138" s="204" t="s">
        <v>259</v>
      </c>
      <c r="G138" s="91" t="s">
        <v>243</v>
      </c>
      <c r="H138" s="89" t="s">
        <v>260</v>
      </c>
      <c r="J138" s="91"/>
    </row>
    <row r="139" spans="2:10" ht="30.2" customHeight="1" outlineLevel="1" thickBot="1">
      <c r="B139" s="69">
        <f>IF(OR(ISNUMBER(D139)=FALSE), "No available data", D139/F139/H139)</f>
        <v>181.06315890749312</v>
      </c>
      <c r="C139" s="66" t="s">
        <v>162</v>
      </c>
      <c r="D139" s="100">
        <f>$B$131</f>
        <v>9505815.8426433876</v>
      </c>
      <c r="E139" s="91" t="s">
        <v>243</v>
      </c>
      <c r="F139" s="208">
        <f>IFERROR(
  INDEX('National data'!$A$2:$Z$53,
         MATCH(TRIM($D$6),'National data'!$B$2:$B$53, 0),
         MATCH(TRIM(F138),'National data'!$A$2:$Z$2, 0)
  ),
  "Not available"
)</f>
        <v>175000</v>
      </c>
      <c r="G139" s="91" t="s">
        <v>243</v>
      </c>
      <c r="H139" s="92">
        <v>0.3</v>
      </c>
    </row>
    <row r="140" spans="2:10" ht="24.4" outlineLevel="1">
      <c r="B140" s="352" t="s">
        <v>168</v>
      </c>
      <c r="D140" s="352" t="s">
        <v>186</v>
      </c>
      <c r="F140" s="354" t="s">
        <v>255</v>
      </c>
      <c r="H140" s="352" t="s">
        <v>125</v>
      </c>
    </row>
    <row r="141" spans="2:10" ht="4.9000000000000004" customHeight="1" outlineLevel="1" thickBot="1"/>
    <row r="142" spans="2:10" ht="45" customHeight="1" outlineLevel="1" thickBot="1">
      <c r="B142" s="59" t="s">
        <v>261</v>
      </c>
      <c r="C142" s="66" t="s">
        <v>162</v>
      </c>
      <c r="D142" s="88" t="s">
        <v>256</v>
      </c>
      <c r="E142" s="91" t="s">
        <v>243</v>
      </c>
      <c r="F142" s="204" t="s">
        <v>262</v>
      </c>
      <c r="G142" s="91" t="s">
        <v>243</v>
      </c>
      <c r="H142" s="89" t="s">
        <v>260</v>
      </c>
    </row>
    <row r="143" spans="2:10" ht="30.2" customHeight="1" outlineLevel="1" thickBot="1">
      <c r="B143" s="69">
        <f>IF(OR(ISNUMBER(D143)=FALSE), "No available data", D143/F143/H143)</f>
        <v>86.437088172714837</v>
      </c>
      <c r="C143" s="66" t="s">
        <v>162</v>
      </c>
      <c r="D143" s="100">
        <f>$B$135</f>
        <v>17503510.354974754</v>
      </c>
      <c r="E143" s="91" t="s">
        <v>243</v>
      </c>
      <c r="F143" s="208">
        <f>IFERROR(
  INDEX('National data'!$A$2:$Z$53,
         MATCH(TRIM($D$6),'National data'!$B$2:$B$53, 0),
         MATCH(TRIM(F142),'National data'!$A$2:$Z$2, 0)
  ),
  "Not available"
)</f>
        <v>675000</v>
      </c>
      <c r="G143" s="91" t="s">
        <v>243</v>
      </c>
      <c r="H143" s="92">
        <v>0.3</v>
      </c>
    </row>
    <row r="144" spans="2:10" ht="24.4" outlineLevel="1">
      <c r="B144" s="352" t="s">
        <v>168</v>
      </c>
      <c r="D144" s="352" t="s">
        <v>186</v>
      </c>
      <c r="F144" s="354" t="s">
        <v>255</v>
      </c>
      <c r="H144" s="352" t="s">
        <v>125</v>
      </c>
    </row>
    <row r="145" spans="2:16" ht="4.9000000000000004" customHeight="1" outlineLevel="1" thickBot="1"/>
    <row r="146" spans="2:16" ht="45" customHeight="1" outlineLevel="1" thickBot="1">
      <c r="B146" s="59" t="s">
        <v>263</v>
      </c>
      <c r="C146" s="66" t="s">
        <v>162</v>
      </c>
      <c r="D146" s="88" t="s">
        <v>258</v>
      </c>
      <c r="E146" s="91" t="s">
        <v>163</v>
      </c>
      <c r="F146" s="204" t="s">
        <v>264</v>
      </c>
      <c r="G146" s="91" t="s">
        <v>210</v>
      </c>
      <c r="H146" s="88" t="s">
        <v>261</v>
      </c>
      <c r="I146" s="91" t="s">
        <v>163</v>
      </c>
      <c r="J146" s="204" t="s">
        <v>265</v>
      </c>
    </row>
    <row r="147" spans="2:16" ht="30.2" customHeight="1" outlineLevel="1" thickBot="1">
      <c r="B147" s="69">
        <f>IF(OR(ISNUMBER(D147)=FALSE), "No available data", D147*F147+H147*J147)</f>
        <v>113222.62453829337</v>
      </c>
      <c r="C147" s="66" t="s">
        <v>162</v>
      </c>
      <c r="D147" s="202">
        <f>$B$139</f>
        <v>181.06315890749312</v>
      </c>
      <c r="E147" s="91" t="s">
        <v>163</v>
      </c>
      <c r="F147" s="209">
        <f>IFERROR(
  INDEX('National data'!$A$2:$Z$53,
         MATCH(TRIM($D$6),'National data'!$B$2:$B$53, 0),
         MATCH(TRIM(F146),'National data'!$A$2:$Z$2, 0)
  ),
  "Not available"
)</f>
        <v>231</v>
      </c>
      <c r="G147" s="91" t="s">
        <v>210</v>
      </c>
      <c r="H147" s="202">
        <f>$B$143</f>
        <v>86.437088172714837</v>
      </c>
      <c r="I147" s="91" t="s">
        <v>163</v>
      </c>
      <c r="J147" s="209">
        <f>IFERROR(
  INDEX('National data'!$A$2:$Z$53,
         MATCH(TRIM($D$6),'National data'!$B$2:$B$53, 0),
         MATCH(TRIM(J146),'National data'!$A$2:$Z$2, 0)
  ),
  "Not available"
)</f>
        <v>826</v>
      </c>
    </row>
    <row r="148" spans="2:16" ht="14.25" customHeight="1" outlineLevel="1">
      <c r="B148" s="352" t="s">
        <v>168</v>
      </c>
      <c r="D148" s="352" t="s">
        <v>186</v>
      </c>
      <c r="F148" s="354" t="s">
        <v>266</v>
      </c>
      <c r="H148" s="352" t="s">
        <v>186</v>
      </c>
      <c r="J148" s="354" t="s">
        <v>266</v>
      </c>
    </row>
    <row r="149" spans="2:16" outlineLevel="1"/>
    <row r="150" spans="2:16">
      <c r="B150" s="401"/>
      <c r="C150" s="401"/>
      <c r="D150" s="401"/>
      <c r="E150" s="401"/>
      <c r="F150" s="401"/>
      <c r="G150" s="401"/>
      <c r="H150" s="401"/>
      <c r="I150" s="401"/>
      <c r="J150" s="401"/>
      <c r="K150" s="401"/>
      <c r="L150" s="401"/>
      <c r="M150" s="401"/>
      <c r="N150" s="401"/>
      <c r="O150" s="401"/>
      <c r="P150" s="401"/>
    </row>
    <row r="152" spans="2:16" outlineLevel="1">
      <c r="B152" s="401" t="s">
        <v>267</v>
      </c>
      <c r="C152" s="401"/>
      <c r="D152" s="401"/>
      <c r="E152" s="401"/>
      <c r="F152" s="401"/>
      <c r="G152" s="401"/>
      <c r="H152" s="401"/>
      <c r="I152" s="401"/>
      <c r="J152" s="401"/>
      <c r="K152" s="401"/>
      <c r="L152" s="401"/>
      <c r="M152" s="401"/>
      <c r="N152" s="401"/>
      <c r="O152" s="401"/>
      <c r="P152" s="401"/>
    </row>
    <row r="153" spans="2:16" ht="15" outlineLevel="1" thickBot="1"/>
    <row r="154" spans="2:16" ht="45" customHeight="1" outlineLevel="1" thickBot="1">
      <c r="B154" s="59" t="s">
        <v>268</v>
      </c>
      <c r="C154" s="66" t="s">
        <v>162</v>
      </c>
      <c r="D154" s="88" t="s">
        <v>240</v>
      </c>
      <c r="E154" s="66" t="s">
        <v>163</v>
      </c>
      <c r="F154" s="204" t="s">
        <v>269</v>
      </c>
    </row>
    <row r="155" spans="2:16" ht="30.2" customHeight="1" outlineLevel="1" thickBot="1">
      <c r="B155" s="69">
        <f>IF(OR(ISNUMBER(D155)=FALSE), "No available data", (D155*F155)/1000000)</f>
        <v>5041.9875957687418</v>
      </c>
      <c r="C155" s="66" t="s">
        <v>162</v>
      </c>
      <c r="D155" s="100">
        <f>$B$97</f>
        <v>343928212.53538483</v>
      </c>
      <c r="E155" s="66" t="s">
        <v>163</v>
      </c>
      <c r="F155" s="210">
        <f>IFERROR(
  INDEX('National data'!$A$2:$Z$53,
         MATCH(TRIM($D$6),'National data'!$B$2:$B$53, 0),
         MATCH(TRIM(F154),'National data'!$A$2:$Z$2, 0)
  ),
  "Not available"
)</f>
        <v>14.66</v>
      </c>
    </row>
    <row r="156" spans="2:16" ht="61.15" outlineLevel="1">
      <c r="B156" s="352" t="s">
        <v>168</v>
      </c>
      <c r="D156" s="352" t="s">
        <v>186</v>
      </c>
      <c r="F156" s="352" t="s">
        <v>270</v>
      </c>
      <c r="H156" s="352" t="s">
        <v>271</v>
      </c>
      <c r="J156" s="352" t="s">
        <v>272</v>
      </c>
      <c r="L156" s="352" t="s">
        <v>273</v>
      </c>
      <c r="N156" s="352" t="s">
        <v>274</v>
      </c>
    </row>
    <row r="157" spans="2:16" ht="4.9000000000000004" customHeight="1" outlineLevel="1" thickBot="1"/>
    <row r="158" spans="2:16" ht="45" customHeight="1" outlineLevel="1">
      <c r="B158" s="59" t="s">
        <v>275</v>
      </c>
      <c r="C158" s="66" t="s">
        <v>162</v>
      </c>
      <c r="D158" s="88" t="s">
        <v>240</v>
      </c>
      <c r="E158" s="66" t="s">
        <v>163</v>
      </c>
      <c r="F158" s="86" t="s">
        <v>276</v>
      </c>
    </row>
    <row r="159" spans="2:16" ht="30.2" customHeight="1" outlineLevel="1">
      <c r="B159" s="371">
        <f>IF(OR(ISNUMBER(D159)=FALSE), "No available data", D159*F159)</f>
        <v>653463603.81723118</v>
      </c>
      <c r="C159" s="66" t="s">
        <v>162</v>
      </c>
      <c r="D159" s="100">
        <f>$B$97</f>
        <v>343928212.53538483</v>
      </c>
      <c r="E159" s="66" t="s">
        <v>163</v>
      </c>
      <c r="F159" s="169">
        <f>IFERROR(
  INDEX(Multipliers!A1:E51,
         MATCH(TRIM($D$6),Multipliers!B1:B51, 0),
         MATCH(TRIM(F158),Multipliers!A1:E1, 0)
  ),
  "Not available"
)</f>
        <v>1.9</v>
      </c>
    </row>
    <row r="160" spans="2:16" ht="35.25" outlineLevel="1">
      <c r="B160" s="352" t="s">
        <v>168</v>
      </c>
      <c r="D160" s="352" t="s">
        <v>186</v>
      </c>
      <c r="F160" s="354" t="s">
        <v>277</v>
      </c>
    </row>
    <row r="161" spans="2:16" outlineLevel="1"/>
    <row r="162" spans="2:16">
      <c r="B162" s="401"/>
      <c r="C162" s="401"/>
      <c r="D162" s="401"/>
      <c r="E162" s="401"/>
      <c r="F162" s="401"/>
      <c r="G162" s="401"/>
      <c r="H162" s="401"/>
      <c r="I162" s="401"/>
      <c r="J162" s="401"/>
      <c r="K162" s="401"/>
      <c r="L162" s="401"/>
      <c r="M162" s="401"/>
      <c r="N162" s="401"/>
      <c r="O162" s="401"/>
      <c r="P162" s="401"/>
    </row>
  </sheetData>
  <mergeCells count="24">
    <mergeCell ref="B162:P162"/>
    <mergeCell ref="B100:P100"/>
    <mergeCell ref="B126:P126"/>
    <mergeCell ref="B128:P128"/>
    <mergeCell ref="B150:P150"/>
    <mergeCell ref="B152:P152"/>
    <mergeCell ref="B102:P102"/>
    <mergeCell ref="B124:P124"/>
    <mergeCell ref="B54:P54"/>
    <mergeCell ref="B78:P78"/>
    <mergeCell ref="B26:P26"/>
    <mergeCell ref="B50:P50"/>
    <mergeCell ref="B76:P76"/>
    <mergeCell ref="B28:P28"/>
    <mergeCell ref="F8:H8"/>
    <mergeCell ref="J5:P5"/>
    <mergeCell ref="B10:P10"/>
    <mergeCell ref="B12:P12"/>
    <mergeCell ref="B52:P52"/>
    <mergeCell ref="B2:P2"/>
    <mergeCell ref="B3:P3"/>
    <mergeCell ref="B5:H5"/>
    <mergeCell ref="F6:H6"/>
    <mergeCell ref="F7:H7"/>
  </mergeCells>
  <dataValidations count="2">
    <dataValidation type="list" allowBlank="1" showInputMessage="1" showErrorMessage="1" sqref="D7" xr:uid="{67C0A8DA-8944-4B13-8B59-AF3AE68D1245}">
      <formula1>"Only chronic conditions, Chronic conditions and FPL, Food insecure"</formula1>
    </dataValidation>
    <dataValidation type="list" allowBlank="1" showInputMessage="1" showErrorMessage="1" sqref="D8" xr:uid="{2EEB7C29-8883-4165-94FC-816A5CDD1EFA}">
      <formula1>"Total, Medicaid, Medicare, Private, VA Health"</formula1>
    </dataValidation>
  </dataValidations>
  <hyperlinks>
    <hyperlink ref="D16" r:id="rId1" xr:uid="{2F83B8A9-06DD-4402-9929-E93C03C68C9E}"/>
    <hyperlink ref="F16" r:id="rId2" display="Analysis with 2024 BRFSS Data" xr:uid="{5CC1B666-36EA-4D56-8396-323BE03DAF68}"/>
    <hyperlink ref="H16" r:id="rId3" display="Analysis with 2024 BRFSS Data" xr:uid="{79737F43-782E-451B-96AB-765A9FA7C5BA}"/>
    <hyperlink ref="D20" r:id="rId4" xr:uid="{8A25EA88-0E70-4752-8B19-E9FBBC7978F1}"/>
    <hyperlink ref="F20" r:id="rId5" display="Analysis with 2024 BRFSS Data" xr:uid="{E3FCEAB8-6C6B-4218-B32B-D74CBD7141DE}"/>
    <hyperlink ref="H20" r:id="rId6" display="Analysis with 2024 BRFSS Data" xr:uid="{B286F02B-5DC1-460A-96AC-DFE286516134}"/>
    <hyperlink ref="J20" r:id="rId7" display="Analysis with 2024 BRFSS Data" xr:uid="{FE87F191-B107-4752-9DE5-12080AF2DBE9}"/>
    <hyperlink ref="D24" r:id="rId8" xr:uid="{E436B828-A924-42FB-95F3-47F4B7AA2B26}"/>
    <hyperlink ref="F24" r:id="rId9" xr:uid="{F9B8597B-40A3-4718-9131-B8A4E751D919}"/>
    <hyperlink ref="H32" r:id="rId10" xr:uid="{F195A8DC-8BA7-4325-97E8-C44990E9799C}"/>
    <hyperlink ref="J32" r:id="rId11" xr:uid="{4F4FA0B2-C362-412E-B002-6D8080946EC5}"/>
    <hyperlink ref="H36" r:id="rId12" xr:uid="{E75A7B20-9D12-460D-BFBF-489484BCBE77}"/>
    <hyperlink ref="J36" r:id="rId13" xr:uid="{9766392A-FA67-4B5C-8589-E6B776B9FD7D}"/>
    <hyperlink ref="H40" r:id="rId14" display="Tufts Trust Cost of FIM Case Study Report (20230" xr:uid="{D98A0402-7E86-40D8-9ABB-2A6C85BA22E6}"/>
    <hyperlink ref="H44" r:id="rId15" xr:uid="{84A11C3C-1615-44A2-AF8F-71238014B962}"/>
    <hyperlink ref="J44" r:id="rId16" xr:uid="{A71F8576-90A9-46D9-8C1A-A2EAAF75246A}"/>
    <hyperlink ref="L32" r:id="rId17" xr:uid="{D60E284A-4374-4AEA-91FF-2C60B07A2391}"/>
    <hyperlink ref="F106" r:id="rId18" xr:uid="{5110643E-0D1E-46A1-A67C-845EF4502431}"/>
    <hyperlink ref="F110" r:id="rId19" xr:uid="{3361EF72-00FE-46D1-A545-DFC5D9D1D37E}"/>
    <hyperlink ref="F114" r:id="rId20" xr:uid="{4A539763-8CDD-475E-9956-B205CDDA406B}"/>
    <hyperlink ref="F118" r:id="rId21" xr:uid="{97E9793E-8BE1-41A5-872B-0B78AF744707}"/>
    <hyperlink ref="F132" r:id="rId22" xr:uid="{5188E26F-9A48-4637-918E-B32DF4EF160C}"/>
    <hyperlink ref="F136" r:id="rId23" xr:uid="{8EEBDC6E-528A-4653-B8C4-7CA806AB6C64}"/>
    <hyperlink ref="F140" r:id="rId24" xr:uid="{50F22564-FAD9-495C-A132-43B7FEF8C472}"/>
    <hyperlink ref="F144" r:id="rId25" xr:uid="{5413D141-CF8F-4C8C-A055-DE6575331C26}"/>
    <hyperlink ref="F148" r:id="rId26" xr:uid="{7B3F0DB6-086D-4DCD-A94C-55C6151FA710}"/>
    <hyperlink ref="J148" r:id="rId27" xr:uid="{563B4733-2CEF-4105-B4C6-C514638C9544}"/>
    <hyperlink ref="F160" r:id="rId28" xr:uid="{F6DFBA56-F991-4AF2-943F-BEB08EAB4E78}"/>
    <hyperlink ref="L36" r:id="rId29" xr:uid="{66D94AA8-C90E-49F6-94EB-77F23910A058}"/>
    <hyperlink ref="J40" r:id="rId30" display="Tufts Trust Cost of FIM Case Study Report (20230" xr:uid="{A4646942-8F20-46D1-8610-D3B3F0D0EE55}"/>
    <hyperlink ref="L44" r:id="rId31" display="Average of MTM program reimbursements" xr:uid="{2E4513F7-CE19-4637-936E-8A0C8189C369}"/>
    <hyperlink ref="L40" r:id="rId32" display="Tufts Trust Cost of FIM Case Study Report (20230" xr:uid="{623BAECE-AC25-422E-AAAA-55C7BEA5D4B1}"/>
  </hyperlinks>
  <pageMargins left="0.7" right="0.7" top="0.75" bottom="0.75" header="0.3" footer="0.3"/>
  <drawing r:id="rId33"/>
  <extLst>
    <ext xmlns:x14="http://schemas.microsoft.com/office/spreadsheetml/2009/9/main" uri="{CCE6A557-97BC-4b89-ADB6-D9C93CAAB3DF}">
      <x14:dataValidations xmlns:xm="http://schemas.microsoft.com/office/excel/2006/main" count="1">
        <x14:dataValidation type="list" allowBlank="1" showInputMessage="1" showErrorMessage="1" xr:uid="{D65D5D8C-36C3-4B34-A9BD-B2E800B88E36}">
          <x14:formula1>
            <xm:f>Demographics!$B$2:$B$51</xm:f>
          </x14:formula1>
          <xm:sqref>D6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731A1-4EF5-4703-9062-0FDCA07E5092}">
  <dimension ref="A1:AX660"/>
  <sheetViews>
    <sheetView zoomScale="70" zoomScaleNormal="70" workbookViewId="0">
      <pane xSplit="3" ySplit="1" topLeftCell="D2" activePane="bottomRight" state="frozen"/>
      <selection pane="bottomRight" activeCell="AC43" sqref="AC43:AF43"/>
      <selection pane="bottomLeft" activeCell="A2" sqref="A2"/>
      <selection pane="topRight" activeCell="D1" sqref="D1"/>
    </sheetView>
  </sheetViews>
  <sheetFormatPr defaultColWidth="10.85546875" defaultRowHeight="12.95" outlineLevelCol="1"/>
  <cols>
    <col min="1" max="1" width="7.42578125" style="1" customWidth="1"/>
    <col min="2" max="2" width="15.42578125" style="1" customWidth="1"/>
    <col min="3" max="3" width="13.42578125" style="1" customWidth="1"/>
    <col min="4" max="4" width="12.42578125" style="1" bestFit="1" customWidth="1"/>
    <col min="5" max="5" width="20.42578125" style="1" hidden="1" customWidth="1" outlineLevel="1"/>
    <col min="6" max="6" width="27.140625" style="1" customWidth="1" collapsed="1"/>
    <col min="7" max="7" width="20.140625" style="1" hidden="1" customWidth="1" outlineLevel="1"/>
    <col min="8" max="8" width="20" style="1" customWidth="1" collapsed="1"/>
    <col min="9" max="9" width="20" style="1" hidden="1" customWidth="1" outlineLevel="1"/>
    <col min="10" max="10" width="20" style="1" customWidth="1" collapsed="1"/>
    <col min="11" max="21" width="27.140625" style="1" customWidth="1"/>
    <col min="22" max="22" width="56.85546875" style="1" hidden="1" customWidth="1" outlineLevel="1"/>
    <col min="23" max="23" width="18.42578125" style="1" customWidth="1" collapsed="1"/>
    <col min="24" max="24" width="18.42578125" style="1" customWidth="1"/>
    <col min="25" max="25" width="10.85546875" style="1"/>
    <col min="26" max="26" width="13.85546875" style="1" bestFit="1" customWidth="1"/>
    <col min="27" max="27" width="19.42578125" style="1" bestFit="1" customWidth="1"/>
    <col min="28" max="28" width="19.42578125" style="1" hidden="1" customWidth="1" outlineLevel="1"/>
    <col min="29" max="29" width="25.5703125" style="1" customWidth="1" collapsed="1"/>
    <col min="30" max="32" width="25.5703125" style="1" customWidth="1"/>
    <col min="33" max="50" width="10.85546875" style="4"/>
    <col min="51" max="16384" width="10.85546875" style="1"/>
  </cols>
  <sheetData>
    <row r="1" spans="1:50" s="2" customFormat="1" ht="25.9">
      <c r="A1" s="5" t="s">
        <v>278</v>
      </c>
      <c r="B1" s="6" t="s">
        <v>279</v>
      </c>
      <c r="C1" s="6" t="s">
        <v>280</v>
      </c>
      <c r="D1" s="6" t="s">
        <v>281</v>
      </c>
      <c r="E1" s="6" t="s">
        <v>282</v>
      </c>
      <c r="F1" s="7" t="s">
        <v>283</v>
      </c>
      <c r="G1" s="6" t="s">
        <v>282</v>
      </c>
      <c r="H1" s="7" t="s">
        <v>176</v>
      </c>
      <c r="I1" s="7" t="s">
        <v>282</v>
      </c>
      <c r="J1" s="7" t="s">
        <v>284</v>
      </c>
      <c r="K1" s="7" t="s">
        <v>285</v>
      </c>
      <c r="L1" s="7" t="s">
        <v>286</v>
      </c>
      <c r="M1" s="61" t="s">
        <v>287</v>
      </c>
      <c r="N1" s="7" t="s">
        <v>288</v>
      </c>
      <c r="O1" s="61" t="s">
        <v>289</v>
      </c>
      <c r="P1" s="7" t="s">
        <v>290</v>
      </c>
      <c r="Q1" s="61" t="s">
        <v>291</v>
      </c>
      <c r="R1" s="7" t="s">
        <v>292</v>
      </c>
      <c r="S1" s="61" t="s">
        <v>293</v>
      </c>
      <c r="T1" s="7" t="s">
        <v>294</v>
      </c>
      <c r="U1" s="61" t="s">
        <v>172</v>
      </c>
      <c r="V1" s="7" t="s">
        <v>282</v>
      </c>
      <c r="W1" s="7" t="s">
        <v>295</v>
      </c>
      <c r="X1" s="7" t="s">
        <v>296</v>
      </c>
      <c r="Y1" s="6" t="s">
        <v>297</v>
      </c>
      <c r="Z1" s="6" t="s">
        <v>298</v>
      </c>
      <c r="AA1" s="8" t="s">
        <v>299</v>
      </c>
      <c r="AB1" s="6" t="s">
        <v>282</v>
      </c>
      <c r="AC1" s="61" t="s">
        <v>300</v>
      </c>
      <c r="AD1" s="61" t="s">
        <v>301</v>
      </c>
      <c r="AE1" s="61" t="s">
        <v>302</v>
      </c>
      <c r="AF1" s="177" t="s">
        <v>303</v>
      </c>
      <c r="AG1" s="3"/>
      <c r="AH1" s="3"/>
      <c r="AI1" s="3"/>
      <c r="AJ1" s="3"/>
      <c r="AK1" s="3"/>
      <c r="AL1" s="3"/>
      <c r="AM1" s="3"/>
      <c r="AN1" s="3"/>
      <c r="AO1" s="3"/>
      <c r="AP1" s="3"/>
      <c r="AQ1" s="3"/>
      <c r="AR1" s="3"/>
      <c r="AS1" s="3"/>
      <c r="AT1" s="3"/>
      <c r="AU1" s="3"/>
      <c r="AV1" s="3"/>
      <c r="AW1" s="3"/>
      <c r="AX1" s="3"/>
    </row>
    <row r="2" spans="1:50" ht="14.25">
      <c r="A2" s="9">
        <v>1</v>
      </c>
      <c r="B2" s="1" t="s">
        <v>304</v>
      </c>
      <c r="C2" s="1" t="s">
        <v>305</v>
      </c>
      <c r="D2" s="1">
        <v>0</v>
      </c>
      <c r="E2" s="256" t="s">
        <v>306</v>
      </c>
      <c r="F2" s="10">
        <v>325345100000</v>
      </c>
      <c r="G2" s="256" t="s">
        <v>307</v>
      </c>
      <c r="H2" s="11">
        <v>5157699</v>
      </c>
      <c r="I2" s="262" t="s">
        <v>308</v>
      </c>
      <c r="J2" s="11">
        <v>2857149</v>
      </c>
      <c r="K2" s="60" t="s">
        <v>309</v>
      </c>
      <c r="L2" s="11">
        <v>371174</v>
      </c>
      <c r="M2" s="120">
        <f>L2/$H2</f>
        <v>7.1965037122174058E-2</v>
      </c>
      <c r="N2" s="11">
        <v>389460</v>
      </c>
      <c r="O2" s="121">
        <f t="shared" ref="O2:O33" si="0">($L2+$N2)/$H2</f>
        <v>0.14747545368583936</v>
      </c>
      <c r="P2" s="11">
        <v>212047</v>
      </c>
      <c r="Q2" s="121">
        <f t="shared" ref="Q2:Q33" si="1">($L2+$N2+$P2)/$H2</f>
        <v>0.18858816693257982</v>
      </c>
      <c r="R2" s="11">
        <v>211757</v>
      </c>
      <c r="S2" s="121">
        <f t="shared" ref="S2:S33" si="2">($L2+$N2+$P2+$R2)/$H2</f>
        <v>0.22964465355578137</v>
      </c>
      <c r="T2" s="11">
        <v>321884</v>
      </c>
      <c r="U2" s="121">
        <f t="shared" ref="U2:U33" si="3">($L2+$N2+$P2+$R2+$T2)/$H2</f>
        <v>0.29205310352542868</v>
      </c>
      <c r="V2" s="25" t="s">
        <v>310</v>
      </c>
      <c r="W2" s="20">
        <v>0.42</v>
      </c>
      <c r="X2" s="20">
        <f t="shared" ref="X2:X33" si="4">1-W2</f>
        <v>0.58000000000000007</v>
      </c>
      <c r="Y2" s="11" t="s">
        <v>311</v>
      </c>
      <c r="Z2" s="1" t="s">
        <v>312</v>
      </c>
      <c r="AA2" s="1" t="s">
        <v>312</v>
      </c>
      <c r="AB2" s="65" t="s">
        <v>313</v>
      </c>
      <c r="AC2" s="267">
        <v>0.77272727272727304</v>
      </c>
      <c r="AD2" s="267">
        <v>0.32325581395348801</v>
      </c>
      <c r="AE2" s="267">
        <v>0.119198312236287</v>
      </c>
      <c r="AF2" s="268">
        <v>0.15533980582524301</v>
      </c>
    </row>
    <row r="3" spans="1:50" ht="14.25">
      <c r="A3" s="9">
        <v>2</v>
      </c>
      <c r="B3" s="1" t="s">
        <v>314</v>
      </c>
      <c r="C3" s="1" t="s">
        <v>315</v>
      </c>
      <c r="D3" s="1">
        <v>1</v>
      </c>
      <c r="E3" s="256" t="s">
        <v>316</v>
      </c>
      <c r="F3" s="10">
        <v>71567200000</v>
      </c>
      <c r="G3" s="379" t="s">
        <v>307</v>
      </c>
      <c r="H3" s="11">
        <v>740133</v>
      </c>
      <c r="I3" s="262" t="s">
        <v>317</v>
      </c>
      <c r="J3" s="11">
        <v>454025</v>
      </c>
      <c r="K3" s="60" t="s">
        <v>318</v>
      </c>
      <c r="L3" s="11">
        <v>40179</v>
      </c>
      <c r="M3" s="120">
        <f t="shared" ref="M3:M34" si="5">L3/H3</f>
        <v>5.4286189103850253E-2</v>
      </c>
      <c r="N3" s="11">
        <v>33219</v>
      </c>
      <c r="O3" s="121">
        <f t="shared" si="0"/>
        <v>9.9168662929500509E-2</v>
      </c>
      <c r="P3" s="11">
        <v>21822</v>
      </c>
      <c r="Q3" s="121">
        <f t="shared" si="1"/>
        <v>0.12865255298709827</v>
      </c>
      <c r="R3" s="11">
        <v>24384</v>
      </c>
      <c r="S3" s="121">
        <f t="shared" si="2"/>
        <v>0.16159798306520584</v>
      </c>
      <c r="T3" s="11">
        <v>28861</v>
      </c>
      <c r="U3" s="121">
        <f t="shared" si="3"/>
        <v>0.20059232597384524</v>
      </c>
      <c r="V3" s="25" t="s">
        <v>310</v>
      </c>
      <c r="W3" s="20">
        <v>0.35100000000000003</v>
      </c>
      <c r="X3" s="20">
        <f t="shared" si="4"/>
        <v>0.64900000000000002</v>
      </c>
      <c r="Y3" s="1" t="s">
        <v>319</v>
      </c>
      <c r="Z3" s="1" t="s">
        <v>312</v>
      </c>
      <c r="AA3" s="1" t="s">
        <v>320</v>
      </c>
      <c r="AB3" s="65" t="s">
        <v>313</v>
      </c>
      <c r="AC3" s="267">
        <v>0.73163841807909602</v>
      </c>
      <c r="AD3" s="267">
        <v>0.22798353909465</v>
      </c>
      <c r="AE3" s="267">
        <v>5.3092501368363403E-2</v>
      </c>
      <c r="AF3" s="268">
        <v>0.166144200626959</v>
      </c>
    </row>
    <row r="4" spans="1:50" ht="14.25">
      <c r="A4" s="9">
        <v>3</v>
      </c>
      <c r="B4" s="1" t="s">
        <v>321</v>
      </c>
      <c r="C4" s="1" t="s">
        <v>322</v>
      </c>
      <c r="D4" s="1">
        <v>0</v>
      </c>
      <c r="E4" s="256" t="s">
        <v>323</v>
      </c>
      <c r="F4" s="10">
        <v>570088600000</v>
      </c>
      <c r="G4" s="379" t="s">
        <v>307</v>
      </c>
      <c r="H4" s="11">
        <v>7582384</v>
      </c>
      <c r="I4" s="262" t="s">
        <v>324</v>
      </c>
      <c r="J4" s="11">
        <v>4250495</v>
      </c>
      <c r="K4" s="60" t="s">
        <v>325</v>
      </c>
      <c r="L4" s="11">
        <v>453227</v>
      </c>
      <c r="M4" s="120">
        <f t="shared" si="5"/>
        <v>5.9773680678794426E-2</v>
      </c>
      <c r="N4" s="11">
        <v>413655</v>
      </c>
      <c r="O4" s="121">
        <f t="shared" si="0"/>
        <v>0.11432842230095443</v>
      </c>
      <c r="P4" s="11">
        <v>257378</v>
      </c>
      <c r="Q4" s="121">
        <f t="shared" si="1"/>
        <v>0.14827262771181202</v>
      </c>
      <c r="R4" s="11">
        <v>280994</v>
      </c>
      <c r="S4" s="121">
        <f t="shared" si="2"/>
        <v>0.1853314208301769</v>
      </c>
      <c r="T4" s="11">
        <v>396367</v>
      </c>
      <c r="U4" s="121">
        <f t="shared" si="3"/>
        <v>0.23760614075995096</v>
      </c>
      <c r="V4" s="25" t="s">
        <v>310</v>
      </c>
      <c r="W4" s="20">
        <v>0.115</v>
      </c>
      <c r="X4" s="20">
        <f t="shared" si="4"/>
        <v>0.88500000000000001</v>
      </c>
      <c r="Y4" s="1" t="s">
        <v>319</v>
      </c>
      <c r="Z4" s="1" t="s">
        <v>326</v>
      </c>
      <c r="AA4" s="1" t="s">
        <v>312</v>
      </c>
      <c r="AB4" s="65" t="s">
        <v>313</v>
      </c>
      <c r="AC4" s="267">
        <v>0.74558303886925803</v>
      </c>
      <c r="AD4" s="267">
        <v>0.28429752066115699</v>
      </c>
      <c r="AE4" s="267">
        <v>0.11864406779661001</v>
      </c>
      <c r="AF4" s="268">
        <v>0.238805970149254</v>
      </c>
    </row>
    <row r="5" spans="1:50" ht="14.25">
      <c r="A5" s="9">
        <v>4</v>
      </c>
      <c r="B5" s="1" t="s">
        <v>327</v>
      </c>
      <c r="C5" s="1" t="s">
        <v>328</v>
      </c>
      <c r="D5" s="1">
        <v>0</v>
      </c>
      <c r="E5" s="256" t="s">
        <v>329</v>
      </c>
      <c r="F5" s="10">
        <v>188339600000</v>
      </c>
      <c r="G5" s="379" t="s">
        <v>307</v>
      </c>
      <c r="H5" s="11">
        <v>3088354</v>
      </c>
      <c r="I5" s="262" t="s">
        <v>330</v>
      </c>
      <c r="J5" s="11">
        <v>1744586</v>
      </c>
      <c r="K5" s="60" t="s">
        <v>331</v>
      </c>
      <c r="L5" s="11">
        <v>222119</v>
      </c>
      <c r="M5" s="120">
        <f t="shared" si="5"/>
        <v>7.1921483094230784E-2</v>
      </c>
      <c r="N5" s="11">
        <v>244340</v>
      </c>
      <c r="O5" s="121">
        <f t="shared" si="0"/>
        <v>0.15103806105129139</v>
      </c>
      <c r="P5" s="11">
        <v>151651</v>
      </c>
      <c r="Q5" s="121">
        <f t="shared" si="1"/>
        <v>0.20014221167651117</v>
      </c>
      <c r="R5" s="11">
        <v>153903</v>
      </c>
      <c r="S5" s="121">
        <f t="shared" si="2"/>
        <v>0.24997555332063617</v>
      </c>
      <c r="T5" s="11">
        <v>212252</v>
      </c>
      <c r="U5" s="121">
        <f t="shared" si="3"/>
        <v>0.31870213064953046</v>
      </c>
      <c r="V5" s="25" t="s">
        <v>310</v>
      </c>
      <c r="W5" s="20">
        <v>0.439</v>
      </c>
      <c r="X5" s="20">
        <f t="shared" si="4"/>
        <v>0.56099999999999994</v>
      </c>
      <c r="Y5" s="1" t="s">
        <v>311</v>
      </c>
      <c r="Z5" s="1" t="s">
        <v>312</v>
      </c>
      <c r="AA5" s="1" t="s">
        <v>312</v>
      </c>
      <c r="AB5" s="65" t="s">
        <v>313</v>
      </c>
      <c r="AC5" s="267">
        <v>0.79032258064516103</v>
      </c>
      <c r="AD5" s="267">
        <v>0.36430976430976397</v>
      </c>
      <c r="AE5" s="267">
        <v>0.13349663196570699</v>
      </c>
      <c r="AF5" s="268">
        <v>0.26943005181347202</v>
      </c>
    </row>
    <row r="6" spans="1:50" ht="14.25">
      <c r="A6" s="9">
        <v>5</v>
      </c>
      <c r="B6" s="1" t="s">
        <v>332</v>
      </c>
      <c r="C6" s="1" t="s">
        <v>333</v>
      </c>
      <c r="D6" s="1">
        <v>1</v>
      </c>
      <c r="E6" s="256" t="s">
        <v>334</v>
      </c>
      <c r="F6" s="10">
        <v>4048108100000</v>
      </c>
      <c r="G6" s="379" t="s">
        <v>307</v>
      </c>
      <c r="H6" s="11">
        <v>39431263</v>
      </c>
      <c r="I6" s="262" t="s">
        <v>335</v>
      </c>
      <c r="J6" s="11">
        <v>24941794</v>
      </c>
      <c r="K6" s="60" t="s">
        <v>336</v>
      </c>
      <c r="L6" s="11">
        <v>2272893</v>
      </c>
      <c r="M6" s="120">
        <f t="shared" si="5"/>
        <v>5.7641902061316169E-2</v>
      </c>
      <c r="N6" s="11">
        <v>2295074</v>
      </c>
      <c r="O6" s="121">
        <f t="shared" si="0"/>
        <v>0.11584632731647475</v>
      </c>
      <c r="P6" s="11">
        <v>1329990</v>
      </c>
      <c r="Q6" s="121">
        <f t="shared" si="1"/>
        <v>0.14957565523579602</v>
      </c>
      <c r="R6" s="11">
        <v>1439763</v>
      </c>
      <c r="S6" s="121">
        <f t="shared" si="2"/>
        <v>0.18608889093915151</v>
      </c>
      <c r="T6" s="11">
        <v>2065699</v>
      </c>
      <c r="U6" s="121">
        <f t="shared" si="3"/>
        <v>0.23847623141059418</v>
      </c>
      <c r="V6" s="25" t="s">
        <v>310</v>
      </c>
      <c r="W6" s="20">
        <v>5.7999999999999996E-2</v>
      </c>
      <c r="X6" s="20">
        <f t="shared" si="4"/>
        <v>0.94199999999999995</v>
      </c>
      <c r="Y6" s="1" t="s">
        <v>319</v>
      </c>
      <c r="Z6" s="1" t="s">
        <v>326</v>
      </c>
      <c r="AA6" s="1" t="s">
        <v>326</v>
      </c>
      <c r="AB6" s="65" t="s">
        <v>313</v>
      </c>
      <c r="AC6" s="267">
        <v>0.75097276264591395</v>
      </c>
      <c r="AD6" s="267">
        <v>0.32083792723263499</v>
      </c>
      <c r="AE6" s="267">
        <v>0.12292118582791001</v>
      </c>
      <c r="AF6" s="268">
        <v>0.224719101123595</v>
      </c>
    </row>
    <row r="7" spans="1:50" ht="14.25">
      <c r="A7" s="9">
        <v>6</v>
      </c>
      <c r="B7" s="1" t="s">
        <v>337</v>
      </c>
      <c r="C7" s="1" t="s">
        <v>338</v>
      </c>
      <c r="D7" s="1">
        <v>0</v>
      </c>
      <c r="E7" s="256" t="s">
        <v>339</v>
      </c>
      <c r="F7" s="10">
        <v>557633000000</v>
      </c>
      <c r="G7" s="379" t="s">
        <v>307</v>
      </c>
      <c r="H7" s="11">
        <v>5957493</v>
      </c>
      <c r="I7" s="262" t="s">
        <v>340</v>
      </c>
      <c r="J7" s="11">
        <v>4108115</v>
      </c>
      <c r="K7" s="60" t="s">
        <v>341</v>
      </c>
      <c r="L7" s="11">
        <v>309992</v>
      </c>
      <c r="M7" s="120">
        <f t="shared" si="5"/>
        <v>5.2033967979483987E-2</v>
      </c>
      <c r="N7" s="11">
        <v>250048</v>
      </c>
      <c r="O7" s="121">
        <f t="shared" si="0"/>
        <v>9.4005985403591744E-2</v>
      </c>
      <c r="P7" s="11">
        <v>149765</v>
      </c>
      <c r="Q7" s="121">
        <f t="shared" si="1"/>
        <v>0.11914491548710171</v>
      </c>
      <c r="R7" s="11">
        <v>167592</v>
      </c>
      <c r="S7" s="121">
        <f t="shared" si="2"/>
        <v>0.14727621165480179</v>
      </c>
      <c r="T7" s="11">
        <v>223069</v>
      </c>
      <c r="U7" s="121">
        <f t="shared" si="3"/>
        <v>0.18471964633445645</v>
      </c>
      <c r="V7" s="25" t="s">
        <v>310</v>
      </c>
      <c r="W7" s="20">
        <v>0.14400000000000002</v>
      </c>
      <c r="X7" s="20">
        <f t="shared" si="4"/>
        <v>0.85599999999999998</v>
      </c>
      <c r="Y7" s="1" t="s">
        <v>319</v>
      </c>
      <c r="Z7" s="1" t="s">
        <v>326</v>
      </c>
      <c r="AA7" s="1" t="s">
        <v>326</v>
      </c>
      <c r="AB7" s="65" t="s">
        <v>313</v>
      </c>
      <c r="AC7" s="267">
        <v>0.69208211143694998</v>
      </c>
      <c r="AD7" s="267">
        <v>0.210069444444444</v>
      </c>
      <c r="AE7" s="267">
        <v>6.4629847238542898E-2</v>
      </c>
      <c r="AF7" s="268">
        <v>0.154471544715447</v>
      </c>
    </row>
    <row r="8" spans="1:50" ht="14.25">
      <c r="A8" s="9">
        <v>7</v>
      </c>
      <c r="B8" s="1" t="s">
        <v>342</v>
      </c>
      <c r="C8" s="1" t="s">
        <v>343</v>
      </c>
      <c r="D8" s="1">
        <v>0</v>
      </c>
      <c r="E8" s="256" t="s">
        <v>344</v>
      </c>
      <c r="F8" s="10">
        <v>356834900000</v>
      </c>
      <c r="G8" s="379" t="s">
        <v>307</v>
      </c>
      <c r="H8" s="11">
        <v>3675069</v>
      </c>
      <c r="I8" s="262" t="s">
        <v>345</v>
      </c>
      <c r="J8" s="11">
        <v>2353654</v>
      </c>
      <c r="K8" s="60" t="s">
        <v>346</v>
      </c>
      <c r="L8" s="11">
        <v>184275</v>
      </c>
      <c r="M8" s="120">
        <f t="shared" si="5"/>
        <v>5.014191570280721E-2</v>
      </c>
      <c r="N8" s="11">
        <v>179942</v>
      </c>
      <c r="O8" s="121">
        <f t="shared" si="0"/>
        <v>9.9104805923371772E-2</v>
      </c>
      <c r="P8" s="11">
        <v>83527</v>
      </c>
      <c r="Q8" s="121">
        <f t="shared" si="1"/>
        <v>0.12183281456756322</v>
      </c>
      <c r="R8" s="11">
        <v>101549</v>
      </c>
      <c r="S8" s="121">
        <f t="shared" si="2"/>
        <v>0.14946467671763441</v>
      </c>
      <c r="T8" s="11">
        <v>141027</v>
      </c>
      <c r="U8" s="121">
        <f t="shared" si="3"/>
        <v>0.18783865010425654</v>
      </c>
      <c r="V8" s="25" t="s">
        <v>310</v>
      </c>
      <c r="W8" s="20">
        <v>0.13800000000000001</v>
      </c>
      <c r="X8" s="20">
        <f t="shared" si="4"/>
        <v>0.86199999999999999</v>
      </c>
      <c r="Y8" s="1" t="s">
        <v>347</v>
      </c>
      <c r="Z8" s="1" t="s">
        <v>326</v>
      </c>
      <c r="AA8" s="1" t="s">
        <v>326</v>
      </c>
      <c r="AB8" s="65" t="s">
        <v>313</v>
      </c>
      <c r="AC8" s="267">
        <v>0.671875</v>
      </c>
      <c r="AD8" s="267">
        <v>0.245119305856833</v>
      </c>
      <c r="AE8" s="267">
        <v>6.3513513513513503E-2</v>
      </c>
      <c r="AF8" s="268">
        <v>0.128205128205128</v>
      </c>
    </row>
    <row r="9" spans="1:50" ht="14.25">
      <c r="A9" s="9">
        <v>8</v>
      </c>
      <c r="B9" s="1" t="s">
        <v>348</v>
      </c>
      <c r="C9" s="1" t="s">
        <v>349</v>
      </c>
      <c r="D9" s="1">
        <v>0</v>
      </c>
      <c r="E9" s="256" t="s">
        <v>350</v>
      </c>
      <c r="F9" s="10">
        <v>110971800000</v>
      </c>
      <c r="G9" s="379" t="s">
        <v>307</v>
      </c>
      <c r="H9" s="11">
        <v>1051917</v>
      </c>
      <c r="I9" s="262" t="s">
        <v>351</v>
      </c>
      <c r="J9" s="11">
        <v>642859</v>
      </c>
      <c r="K9" s="60" t="s">
        <v>352</v>
      </c>
      <c r="L9" s="11">
        <v>54820</v>
      </c>
      <c r="M9" s="120">
        <f t="shared" si="5"/>
        <v>5.211437784540035E-2</v>
      </c>
      <c r="N9" s="11">
        <v>43733</v>
      </c>
      <c r="O9" s="121">
        <f t="shared" si="0"/>
        <v>9.3688950744212712E-2</v>
      </c>
      <c r="P9" s="11">
        <v>30175</v>
      </c>
      <c r="Q9" s="121">
        <f t="shared" si="1"/>
        <v>0.12237467404747714</v>
      </c>
      <c r="R9" s="11">
        <v>30264</v>
      </c>
      <c r="S9" s="121">
        <f t="shared" si="2"/>
        <v>0.15114500478649931</v>
      </c>
      <c r="T9" s="11">
        <v>51674</v>
      </c>
      <c r="U9" s="121">
        <f t="shared" si="3"/>
        <v>0.20026865237466454</v>
      </c>
      <c r="V9" s="25" t="s">
        <v>310</v>
      </c>
      <c r="W9" s="20">
        <v>0.17899999999999999</v>
      </c>
      <c r="X9" s="20">
        <f t="shared" si="4"/>
        <v>0.82099999999999995</v>
      </c>
      <c r="Y9" s="1" t="s">
        <v>311</v>
      </c>
      <c r="Z9" s="1" t="s">
        <v>326</v>
      </c>
      <c r="AA9" s="1" t="s">
        <v>326</v>
      </c>
      <c r="AB9" s="65" t="s">
        <v>313</v>
      </c>
      <c r="AC9" s="267">
        <v>0.69264069264069295</v>
      </c>
      <c r="AD9" s="267">
        <v>0.22032640949554899</v>
      </c>
      <c r="AE9" s="267">
        <v>0.10415035238841</v>
      </c>
      <c r="AF9" s="268">
        <v>0.15833333333333299</v>
      </c>
    </row>
    <row r="10" spans="1:50" ht="14.25">
      <c r="A10" s="9">
        <v>9</v>
      </c>
      <c r="B10" s="1" t="s">
        <v>353</v>
      </c>
      <c r="C10" s="1" t="s">
        <v>354</v>
      </c>
      <c r="D10" s="1">
        <v>0</v>
      </c>
      <c r="E10" s="256" t="s">
        <v>355</v>
      </c>
      <c r="F10" s="10">
        <v>1726709900000</v>
      </c>
      <c r="G10" s="379" t="s">
        <v>307</v>
      </c>
      <c r="H10" s="11">
        <v>23372215</v>
      </c>
      <c r="I10" s="262" t="s">
        <v>356</v>
      </c>
      <c r="J10" s="11">
        <v>14219768</v>
      </c>
      <c r="K10" s="60" t="s">
        <v>357</v>
      </c>
      <c r="L10" s="11">
        <v>1355698</v>
      </c>
      <c r="M10" s="120">
        <f t="shared" si="5"/>
        <v>5.8004686333751422E-2</v>
      </c>
      <c r="N10" s="11">
        <v>1402916</v>
      </c>
      <c r="O10" s="121">
        <f t="shared" si="0"/>
        <v>0.11802963476076186</v>
      </c>
      <c r="P10" s="11">
        <v>812645</v>
      </c>
      <c r="Q10" s="121">
        <f t="shared" si="1"/>
        <v>0.1527993388731021</v>
      </c>
      <c r="R10" s="11">
        <v>899623</v>
      </c>
      <c r="S10" s="121">
        <f t="shared" si="2"/>
        <v>0.19129047032983396</v>
      </c>
      <c r="T10" s="11">
        <v>1363410</v>
      </c>
      <c r="U10" s="121">
        <f t="shared" si="3"/>
        <v>0.24962512111068635</v>
      </c>
      <c r="V10" s="25" t="s">
        <v>310</v>
      </c>
      <c r="W10" s="20">
        <v>9.0999999999999998E-2</v>
      </c>
      <c r="X10" s="20">
        <f t="shared" si="4"/>
        <v>0.90900000000000003</v>
      </c>
      <c r="Y10" s="1" t="s">
        <v>311</v>
      </c>
      <c r="Z10" s="1" t="s">
        <v>312</v>
      </c>
      <c r="AA10" s="1" t="s">
        <v>312</v>
      </c>
      <c r="AB10" s="65" t="s">
        <v>313</v>
      </c>
      <c r="AC10" s="267">
        <v>0.76024590163934402</v>
      </c>
      <c r="AD10" s="267">
        <v>0.284974093264249</v>
      </c>
      <c r="AE10" s="267">
        <v>0.138479001135074</v>
      </c>
      <c r="AF10" s="268">
        <v>0.19064124783362199</v>
      </c>
    </row>
    <row r="11" spans="1:50" ht="14.25">
      <c r="A11" s="9">
        <v>10</v>
      </c>
      <c r="B11" s="1" t="s">
        <v>358</v>
      </c>
      <c r="C11" s="1" t="s">
        <v>359</v>
      </c>
      <c r="D11" s="1">
        <v>0</v>
      </c>
      <c r="E11" s="256" t="s">
        <v>360</v>
      </c>
      <c r="F11" s="10">
        <v>881508200000</v>
      </c>
      <c r="G11" s="379" t="s">
        <v>307</v>
      </c>
      <c r="H11" s="11">
        <v>11180878</v>
      </c>
      <c r="I11" s="262" t="s">
        <v>361</v>
      </c>
      <c r="J11" s="11">
        <v>6939403</v>
      </c>
      <c r="K11" s="60" t="s">
        <v>362</v>
      </c>
      <c r="L11" s="11">
        <v>681884</v>
      </c>
      <c r="M11" s="120">
        <f t="shared" si="5"/>
        <v>6.0986623769618095E-2</v>
      </c>
      <c r="N11" s="11">
        <v>691400</v>
      </c>
      <c r="O11" s="121">
        <f t="shared" si="0"/>
        <v>0.1228243434907348</v>
      </c>
      <c r="P11" s="11">
        <v>392192</v>
      </c>
      <c r="Q11" s="121">
        <f t="shared" si="1"/>
        <v>0.15790137411391128</v>
      </c>
      <c r="R11" s="11">
        <v>409639</v>
      </c>
      <c r="S11" s="121">
        <f t="shared" si="2"/>
        <v>0.19453883675324962</v>
      </c>
      <c r="T11" s="11">
        <v>635731</v>
      </c>
      <c r="U11" s="121">
        <f t="shared" si="3"/>
        <v>0.25139760938273364</v>
      </c>
      <c r="V11" s="25" t="s">
        <v>310</v>
      </c>
      <c r="W11" s="20">
        <v>0.26600000000000001</v>
      </c>
      <c r="X11" s="20">
        <f t="shared" si="4"/>
        <v>0.73399999999999999</v>
      </c>
      <c r="Y11" s="1" t="s">
        <v>311</v>
      </c>
      <c r="Z11" s="1" t="s">
        <v>312</v>
      </c>
      <c r="AA11" s="1" t="s">
        <v>312</v>
      </c>
      <c r="AB11" s="65" t="s">
        <v>313</v>
      </c>
      <c r="AC11" s="267">
        <v>0.75968992248061995</v>
      </c>
      <c r="AD11" s="267">
        <v>0.33056017748197403</v>
      </c>
      <c r="AE11" s="267">
        <v>0.12735651445328899</v>
      </c>
      <c r="AF11" s="268">
        <v>0.195046439628483</v>
      </c>
    </row>
    <row r="12" spans="1:50" ht="14.25">
      <c r="A12" s="9">
        <v>11</v>
      </c>
      <c r="B12" s="1" t="s">
        <v>363</v>
      </c>
      <c r="C12" s="1" t="s">
        <v>364</v>
      </c>
      <c r="D12" s="1">
        <v>1</v>
      </c>
      <c r="E12" s="256" t="s">
        <v>365</v>
      </c>
      <c r="F12" s="10">
        <v>117627400000</v>
      </c>
      <c r="G12" s="379" t="s">
        <v>307</v>
      </c>
      <c r="H12" s="11">
        <v>1446146</v>
      </c>
      <c r="I12" s="262" t="s">
        <v>366</v>
      </c>
      <c r="J12" s="11">
        <v>895965</v>
      </c>
      <c r="K12" s="60" t="s">
        <v>367</v>
      </c>
      <c r="L12" s="11">
        <v>85760</v>
      </c>
      <c r="M12" s="120">
        <f t="shared" si="5"/>
        <v>5.9302449406906356E-2</v>
      </c>
      <c r="N12" s="11">
        <v>55080</v>
      </c>
      <c r="O12" s="121">
        <f t="shared" si="0"/>
        <v>9.7389890094084552E-2</v>
      </c>
      <c r="P12" s="11">
        <v>35747</v>
      </c>
      <c r="Q12" s="121">
        <f t="shared" si="1"/>
        <v>0.12210869441951228</v>
      </c>
      <c r="R12" s="11">
        <v>39994</v>
      </c>
      <c r="S12" s="121">
        <f t="shared" si="2"/>
        <v>0.14976426999763509</v>
      </c>
      <c r="T12" s="11">
        <v>64837</v>
      </c>
      <c r="U12" s="121">
        <f t="shared" si="3"/>
        <v>0.19459860899245304</v>
      </c>
      <c r="V12" s="25" t="s">
        <v>310</v>
      </c>
      <c r="W12" s="20">
        <v>0.14000000000000001</v>
      </c>
      <c r="X12" s="20">
        <f t="shared" si="4"/>
        <v>0.86</v>
      </c>
      <c r="Y12" s="1" t="s">
        <v>319</v>
      </c>
      <c r="Z12" s="1" t="s">
        <v>326</v>
      </c>
      <c r="AA12" s="1" t="s">
        <v>326</v>
      </c>
      <c r="AB12" s="65" t="s">
        <v>313</v>
      </c>
      <c r="AC12" s="267">
        <v>0.54929577464788704</v>
      </c>
      <c r="AD12" s="267">
        <v>0.257749712973594</v>
      </c>
      <c r="AE12" s="267">
        <v>0.13343987215341599</v>
      </c>
      <c r="AF12" s="268">
        <v>0.155487804878049</v>
      </c>
    </row>
    <row r="13" spans="1:50" ht="14.25">
      <c r="A13" s="9">
        <v>12</v>
      </c>
      <c r="B13" s="1" t="s">
        <v>368</v>
      </c>
      <c r="C13" s="1" t="s">
        <v>278</v>
      </c>
      <c r="D13" s="1">
        <v>0</v>
      </c>
      <c r="E13" s="256" t="s">
        <v>369</v>
      </c>
      <c r="F13" s="10">
        <v>129018200000</v>
      </c>
      <c r="G13" s="379" t="s">
        <v>307</v>
      </c>
      <c r="H13" s="11">
        <v>2001619</v>
      </c>
      <c r="I13" s="262" t="s">
        <v>370</v>
      </c>
      <c r="J13" s="11">
        <v>1179749</v>
      </c>
      <c r="K13" s="60" t="s">
        <v>371</v>
      </c>
      <c r="L13" s="11">
        <v>89524</v>
      </c>
      <c r="M13" s="120">
        <f t="shared" si="5"/>
        <v>4.4725794469377037E-2</v>
      </c>
      <c r="N13" s="11">
        <v>114744</v>
      </c>
      <c r="O13" s="121">
        <f t="shared" si="0"/>
        <v>0.10205138940028047</v>
      </c>
      <c r="P13" s="11">
        <v>65221</v>
      </c>
      <c r="Q13" s="121">
        <f t="shared" si="1"/>
        <v>0.13463551255258868</v>
      </c>
      <c r="R13" s="11">
        <v>76776</v>
      </c>
      <c r="S13" s="121">
        <f t="shared" si="2"/>
        <v>0.17299246260152407</v>
      </c>
      <c r="T13" s="11">
        <v>119569</v>
      </c>
      <c r="U13" s="121">
        <f t="shared" si="3"/>
        <v>0.23272860619328653</v>
      </c>
      <c r="V13" s="25" t="s">
        <v>310</v>
      </c>
      <c r="W13" s="20">
        <v>0.308</v>
      </c>
      <c r="X13" s="20">
        <f t="shared" si="4"/>
        <v>0.69199999999999995</v>
      </c>
      <c r="Y13" s="1" t="s">
        <v>319</v>
      </c>
      <c r="Z13" s="1" t="s">
        <v>312</v>
      </c>
      <c r="AA13" s="1" t="s">
        <v>312</v>
      </c>
      <c r="AB13" s="65" t="s">
        <v>313</v>
      </c>
      <c r="AC13" s="267">
        <v>0.76816608996539804</v>
      </c>
      <c r="AD13" s="267">
        <v>0.33079122974261199</v>
      </c>
      <c r="AE13" s="267">
        <v>0.138257575757576</v>
      </c>
      <c r="AF13" s="268">
        <v>0.24342105263157901</v>
      </c>
    </row>
    <row r="14" spans="1:50" ht="14.25">
      <c r="A14" s="9">
        <v>13</v>
      </c>
      <c r="B14" s="1" t="s">
        <v>372</v>
      </c>
      <c r="C14" s="1" t="s">
        <v>373</v>
      </c>
      <c r="D14" s="1">
        <v>0</v>
      </c>
      <c r="E14" s="256" t="s">
        <v>374</v>
      </c>
      <c r="F14" s="10">
        <v>1148106100000</v>
      </c>
      <c r="G14" s="379" t="s">
        <v>307</v>
      </c>
      <c r="H14" s="11">
        <v>12710158</v>
      </c>
      <c r="I14" s="262" t="s">
        <v>375</v>
      </c>
      <c r="J14" s="11">
        <v>7992113</v>
      </c>
      <c r="K14" s="60" t="s">
        <v>376</v>
      </c>
      <c r="L14" s="11">
        <v>729122</v>
      </c>
      <c r="M14" s="120">
        <f t="shared" si="5"/>
        <v>5.7365297897949023E-2</v>
      </c>
      <c r="N14" s="11">
        <v>709348</v>
      </c>
      <c r="O14" s="121">
        <f t="shared" si="0"/>
        <v>0.11317483228768675</v>
      </c>
      <c r="P14" s="11">
        <v>404444</v>
      </c>
      <c r="Q14" s="121">
        <f t="shared" si="1"/>
        <v>0.14499536512449335</v>
      </c>
      <c r="R14" s="11">
        <v>393660</v>
      </c>
      <c r="S14" s="121">
        <f t="shared" si="2"/>
        <v>0.17596744273359938</v>
      </c>
      <c r="T14" s="11">
        <v>616511</v>
      </c>
      <c r="U14" s="121">
        <f t="shared" si="3"/>
        <v>0.22447281929933521</v>
      </c>
      <c r="V14" s="25" t="s">
        <v>310</v>
      </c>
      <c r="W14" s="20">
        <v>0.13200000000000001</v>
      </c>
      <c r="X14" s="20">
        <f t="shared" si="4"/>
        <v>0.86799999999999999</v>
      </c>
      <c r="Y14" s="1" t="s">
        <v>377</v>
      </c>
      <c r="Z14" s="1" t="s">
        <v>326</v>
      </c>
      <c r="AA14" s="1" t="s">
        <v>326</v>
      </c>
      <c r="AB14" s="65" t="s">
        <v>313</v>
      </c>
      <c r="AC14" s="267">
        <v>0.73956043956044004</v>
      </c>
      <c r="AD14" s="267">
        <v>0.27869467366841699</v>
      </c>
      <c r="AE14" s="267">
        <v>9.4233746130030993E-2</v>
      </c>
      <c r="AF14" s="268">
        <v>0.18421052631578899</v>
      </c>
    </row>
    <row r="15" spans="1:50" ht="14.25">
      <c r="A15" s="9">
        <v>14</v>
      </c>
      <c r="B15" s="1" t="s">
        <v>378</v>
      </c>
      <c r="C15" s="1" t="s">
        <v>379</v>
      </c>
      <c r="D15" s="1">
        <v>1</v>
      </c>
      <c r="E15" s="256" t="s">
        <v>380</v>
      </c>
      <c r="F15" s="10">
        <v>519516500000</v>
      </c>
      <c r="G15" s="379" t="s">
        <v>307</v>
      </c>
      <c r="H15" s="11">
        <v>6924275</v>
      </c>
      <c r="I15" s="262" t="s">
        <v>381</v>
      </c>
      <c r="J15" s="11">
        <v>4101252</v>
      </c>
      <c r="K15" s="60" t="s">
        <v>382</v>
      </c>
      <c r="L15" s="11">
        <v>399562</v>
      </c>
      <c r="M15" s="120">
        <f t="shared" si="5"/>
        <v>5.7704525022475278E-2</v>
      </c>
      <c r="N15" s="11">
        <v>424105</v>
      </c>
      <c r="O15" s="121">
        <f t="shared" si="0"/>
        <v>0.11895353665185164</v>
      </c>
      <c r="P15" s="11">
        <v>237371</v>
      </c>
      <c r="Q15" s="121">
        <f t="shared" si="1"/>
        <v>0.15323452635835522</v>
      </c>
      <c r="R15" s="11">
        <v>259579</v>
      </c>
      <c r="S15" s="121">
        <f t="shared" si="2"/>
        <v>0.19072278325167616</v>
      </c>
      <c r="T15" s="11">
        <v>408638</v>
      </c>
      <c r="U15" s="121">
        <f t="shared" si="3"/>
        <v>0.24973805921919623</v>
      </c>
      <c r="V15" s="25" t="s">
        <v>310</v>
      </c>
      <c r="W15" s="20">
        <v>0.28899999999999998</v>
      </c>
      <c r="X15" s="20">
        <f t="shared" si="4"/>
        <v>0.71100000000000008</v>
      </c>
      <c r="Y15" s="1" t="s">
        <v>377</v>
      </c>
      <c r="Z15" s="1" t="s">
        <v>312</v>
      </c>
      <c r="AA15" s="1" t="s">
        <v>312</v>
      </c>
      <c r="AB15" s="65" t="s">
        <v>313</v>
      </c>
      <c r="AC15" s="267">
        <v>0.77846534653465305</v>
      </c>
      <c r="AD15" s="267">
        <v>0.30617523440025901</v>
      </c>
      <c r="AE15" s="267">
        <v>9.4517958412098299E-2</v>
      </c>
      <c r="AF15" s="268">
        <v>0.23948220064724901</v>
      </c>
    </row>
    <row r="16" spans="1:50" ht="14.25">
      <c r="A16" s="9">
        <v>15</v>
      </c>
      <c r="B16" s="1" t="s">
        <v>383</v>
      </c>
      <c r="C16" s="1" t="s">
        <v>384</v>
      </c>
      <c r="D16" s="1">
        <v>0</v>
      </c>
      <c r="E16" s="256" t="s">
        <v>385</v>
      </c>
      <c r="F16" s="10">
        <v>265794500000</v>
      </c>
      <c r="G16" s="379" t="s">
        <v>307</v>
      </c>
      <c r="H16" s="11">
        <v>3241488</v>
      </c>
      <c r="I16" s="262" t="s">
        <v>386</v>
      </c>
      <c r="J16" s="11">
        <v>2093312</v>
      </c>
      <c r="K16" s="60" t="s">
        <v>387</v>
      </c>
      <c r="L16" s="11">
        <v>174121</v>
      </c>
      <c r="M16" s="120">
        <f t="shared" si="5"/>
        <v>5.3716379637993417E-2</v>
      </c>
      <c r="N16" s="11">
        <v>182283</v>
      </c>
      <c r="O16" s="121">
        <f t="shared" si="0"/>
        <v>0.10995073867310322</v>
      </c>
      <c r="P16" s="11">
        <v>110092</v>
      </c>
      <c r="Q16" s="121">
        <f t="shared" si="1"/>
        <v>0.14391415300627367</v>
      </c>
      <c r="R16" s="11">
        <v>114852</v>
      </c>
      <c r="S16" s="121">
        <f t="shared" si="2"/>
        <v>0.17934602873741937</v>
      </c>
      <c r="T16" s="11">
        <v>179221</v>
      </c>
      <c r="U16" s="121">
        <f t="shared" si="3"/>
        <v>0.23463575987324339</v>
      </c>
      <c r="V16" s="25" t="s">
        <v>310</v>
      </c>
      <c r="W16" s="20">
        <v>0.373</v>
      </c>
      <c r="X16" s="20">
        <f t="shared" si="4"/>
        <v>0.627</v>
      </c>
      <c r="Y16" s="1" t="s">
        <v>377</v>
      </c>
      <c r="Z16" s="1" t="s">
        <v>312</v>
      </c>
      <c r="AA16" s="1" t="s">
        <v>312</v>
      </c>
      <c r="AB16" s="65" t="s">
        <v>313</v>
      </c>
      <c r="AC16" s="267">
        <v>0.71196754563894504</v>
      </c>
      <c r="AD16" s="267">
        <v>0.245385906040268</v>
      </c>
      <c r="AE16" s="267">
        <v>0.10676446617766901</v>
      </c>
      <c r="AF16" s="268">
        <v>0.17475728155339801</v>
      </c>
    </row>
    <row r="17" spans="1:32" ht="14.25">
      <c r="A17" s="9">
        <v>16</v>
      </c>
      <c r="B17" s="1" t="s">
        <v>388</v>
      </c>
      <c r="C17" s="1" t="s">
        <v>389</v>
      </c>
      <c r="D17" s="1">
        <v>0</v>
      </c>
      <c r="E17" s="256" t="s">
        <v>390</v>
      </c>
      <c r="F17" s="10">
        <v>230522100000</v>
      </c>
      <c r="G17" s="379" t="s">
        <v>307</v>
      </c>
      <c r="H17" s="11">
        <v>2970606</v>
      </c>
      <c r="I17" s="262" t="s">
        <v>391</v>
      </c>
      <c r="J17" s="11">
        <v>1955078</v>
      </c>
      <c r="K17" s="60" t="s">
        <v>392</v>
      </c>
      <c r="L17" s="11">
        <v>145936</v>
      </c>
      <c r="M17" s="120">
        <f t="shared" si="5"/>
        <v>4.9126676509776118E-2</v>
      </c>
      <c r="N17" s="11">
        <v>167299</v>
      </c>
      <c r="O17" s="121">
        <f t="shared" si="0"/>
        <v>0.10544481496368081</v>
      </c>
      <c r="P17" s="11">
        <v>104553</v>
      </c>
      <c r="Q17" s="121">
        <f t="shared" si="1"/>
        <v>0.14064066389147534</v>
      </c>
      <c r="R17" s="11">
        <v>113896</v>
      </c>
      <c r="S17" s="121">
        <f t="shared" si="2"/>
        <v>0.17898166232748469</v>
      </c>
      <c r="T17" s="11">
        <v>160920</v>
      </c>
      <c r="U17" s="121">
        <f t="shared" si="3"/>
        <v>0.23315242748449305</v>
      </c>
      <c r="V17" s="25" t="s">
        <v>310</v>
      </c>
      <c r="W17" s="20">
        <v>0.28199999999999997</v>
      </c>
      <c r="X17" s="20">
        <f t="shared" si="4"/>
        <v>0.71799999999999997</v>
      </c>
      <c r="Y17" s="1" t="s">
        <v>377</v>
      </c>
      <c r="Z17" s="1" t="s">
        <v>326</v>
      </c>
      <c r="AA17" s="1" t="s">
        <v>312</v>
      </c>
      <c r="AB17" s="65" t="s">
        <v>313</v>
      </c>
      <c r="AC17" s="267">
        <v>0.69387755102040805</v>
      </c>
      <c r="AD17" s="267">
        <v>0.21138790035587199</v>
      </c>
      <c r="AE17" s="267">
        <v>0.107877461706783</v>
      </c>
      <c r="AF17" s="268">
        <v>0.15060240963855401</v>
      </c>
    </row>
    <row r="18" spans="1:32" ht="14.25">
      <c r="A18" s="9">
        <v>17</v>
      </c>
      <c r="B18" s="1" t="s">
        <v>393</v>
      </c>
      <c r="C18" s="1" t="s">
        <v>394</v>
      </c>
      <c r="D18" s="1">
        <v>0</v>
      </c>
      <c r="E18" s="256" t="s">
        <v>395</v>
      </c>
      <c r="F18" s="10">
        <v>295375300000</v>
      </c>
      <c r="G18" s="379" t="s">
        <v>307</v>
      </c>
      <c r="H18" s="11">
        <v>4588372</v>
      </c>
      <c r="I18" s="262" t="s">
        <v>396</v>
      </c>
      <c r="J18" s="11">
        <v>2636339</v>
      </c>
      <c r="K18" s="60" t="s">
        <v>397</v>
      </c>
      <c r="L18" s="11">
        <v>337410</v>
      </c>
      <c r="M18" s="120">
        <f t="shared" si="5"/>
        <v>7.3535885930783293E-2</v>
      </c>
      <c r="N18" s="11">
        <v>356761</v>
      </c>
      <c r="O18" s="121">
        <f t="shared" si="0"/>
        <v>0.1512891718457004</v>
      </c>
      <c r="P18" s="11">
        <v>205595</v>
      </c>
      <c r="Q18" s="121">
        <f t="shared" si="1"/>
        <v>0.19609700346876843</v>
      </c>
      <c r="R18" s="11">
        <v>190527</v>
      </c>
      <c r="S18" s="121">
        <f t="shared" si="2"/>
        <v>0.23762088165475684</v>
      </c>
      <c r="T18" s="11">
        <v>297664</v>
      </c>
      <c r="U18" s="121">
        <f t="shared" si="3"/>
        <v>0.30249443593501135</v>
      </c>
      <c r="V18" s="25" t="s">
        <v>310</v>
      </c>
      <c r="W18" s="20">
        <v>0.41600000000000004</v>
      </c>
      <c r="X18" s="20">
        <f t="shared" si="4"/>
        <v>0.58399999999999996</v>
      </c>
      <c r="Y18" s="1" t="s">
        <v>311</v>
      </c>
      <c r="Z18" s="1" t="s">
        <v>326</v>
      </c>
      <c r="AA18" s="1" t="s">
        <v>312</v>
      </c>
      <c r="AB18" s="65" t="s">
        <v>313</v>
      </c>
      <c r="AC18" s="335">
        <v>0.74844074844074804</v>
      </c>
      <c r="AD18" s="335">
        <v>0.32923707117255502</v>
      </c>
      <c r="AE18" s="335">
        <v>7.6288659793814398E-2</v>
      </c>
      <c r="AF18" s="336">
        <v>0.185929648241206</v>
      </c>
    </row>
    <row r="19" spans="1:32" ht="14.25">
      <c r="A19" s="9">
        <v>18</v>
      </c>
      <c r="B19" s="1" t="s">
        <v>398</v>
      </c>
      <c r="C19" s="1" t="s">
        <v>399</v>
      </c>
      <c r="D19" s="1">
        <v>0</v>
      </c>
      <c r="E19" s="256" t="s">
        <v>400</v>
      </c>
      <c r="F19" s="10">
        <v>329172800000</v>
      </c>
      <c r="G19" s="379" t="s">
        <v>307</v>
      </c>
      <c r="H19" s="11">
        <v>4597740</v>
      </c>
      <c r="I19" s="262" t="s">
        <v>401</v>
      </c>
      <c r="J19" s="11">
        <v>2765554</v>
      </c>
      <c r="K19" s="60" t="s">
        <v>402</v>
      </c>
      <c r="L19" s="11">
        <v>401105</v>
      </c>
      <c r="M19" s="120">
        <f t="shared" si="5"/>
        <v>8.7239600325377253E-2</v>
      </c>
      <c r="N19" s="11">
        <v>434162</v>
      </c>
      <c r="O19" s="121">
        <f t="shared" si="0"/>
        <v>0.18166903739663401</v>
      </c>
      <c r="P19" s="11">
        <v>220076</v>
      </c>
      <c r="Q19" s="121">
        <f t="shared" si="1"/>
        <v>0.22953516292787327</v>
      </c>
      <c r="R19" s="11">
        <v>186228</v>
      </c>
      <c r="S19" s="121">
        <f t="shared" si="2"/>
        <v>0.27003941066697984</v>
      </c>
      <c r="T19" s="11">
        <v>282608</v>
      </c>
      <c r="U19" s="121">
        <f t="shared" si="3"/>
        <v>0.33150613127319073</v>
      </c>
      <c r="V19" s="25" t="s">
        <v>310</v>
      </c>
      <c r="W19" s="20">
        <v>0.29100000000000004</v>
      </c>
      <c r="X19" s="20">
        <f t="shared" si="4"/>
        <v>0.70899999999999996</v>
      </c>
      <c r="Y19" s="1" t="s">
        <v>311</v>
      </c>
      <c r="Z19" s="1" t="s">
        <v>312</v>
      </c>
      <c r="AA19" s="1" t="s">
        <v>312</v>
      </c>
      <c r="AB19" s="65" t="s">
        <v>313</v>
      </c>
      <c r="AC19" s="267">
        <v>0.73134328358209</v>
      </c>
      <c r="AD19" s="267">
        <v>0.34453781512604997</v>
      </c>
      <c r="AE19" s="267">
        <v>8.8334457181389103E-2</v>
      </c>
      <c r="AF19" s="268">
        <v>0.19354838709677399</v>
      </c>
    </row>
    <row r="20" spans="1:32" ht="14.25">
      <c r="A20" s="9">
        <v>19</v>
      </c>
      <c r="B20" s="1" t="s">
        <v>403</v>
      </c>
      <c r="C20" s="1" t="s">
        <v>404</v>
      </c>
      <c r="D20" s="1">
        <v>0</v>
      </c>
      <c r="E20" s="256" t="s">
        <v>405</v>
      </c>
      <c r="F20" s="10">
        <v>99174100000</v>
      </c>
      <c r="G20" s="379" t="s">
        <v>307</v>
      </c>
      <c r="H20" s="11">
        <v>1405012</v>
      </c>
      <c r="I20" s="262" t="s">
        <v>406</v>
      </c>
      <c r="J20" s="11">
        <v>867629</v>
      </c>
      <c r="K20" s="60" t="s">
        <v>407</v>
      </c>
      <c r="L20" s="11">
        <v>67610</v>
      </c>
      <c r="M20" s="120">
        <f t="shared" si="5"/>
        <v>4.8120585446957034E-2</v>
      </c>
      <c r="N20" s="11">
        <v>76818</v>
      </c>
      <c r="O20" s="121">
        <f t="shared" si="0"/>
        <v>0.10279485157422143</v>
      </c>
      <c r="P20" s="11">
        <v>43107</v>
      </c>
      <c r="Q20" s="121">
        <f t="shared" si="1"/>
        <v>0.1334757283211816</v>
      </c>
      <c r="R20" s="11">
        <v>40719</v>
      </c>
      <c r="S20" s="121">
        <f t="shared" si="2"/>
        <v>0.16245697545643739</v>
      </c>
      <c r="T20" s="11">
        <v>73446</v>
      </c>
      <c r="U20" s="121">
        <f t="shared" si="3"/>
        <v>0.21473126208174734</v>
      </c>
      <c r="V20" s="25" t="s">
        <v>310</v>
      </c>
      <c r="W20" s="20">
        <v>0.61499999999999999</v>
      </c>
      <c r="X20" s="20">
        <f t="shared" si="4"/>
        <v>0.38500000000000001</v>
      </c>
      <c r="Y20" s="1" t="s">
        <v>347</v>
      </c>
      <c r="Z20" s="1" t="s">
        <v>326</v>
      </c>
      <c r="AA20" s="1" t="s">
        <v>326</v>
      </c>
      <c r="AB20" s="65" t="s">
        <v>313</v>
      </c>
      <c r="AC20" s="267">
        <v>0.74151150054764503</v>
      </c>
      <c r="AD20" s="267">
        <v>0.30385806814981697</v>
      </c>
      <c r="AE20" s="267">
        <v>8.5356880058866796E-2</v>
      </c>
      <c r="AF20" s="268">
        <v>0.20604914933837401</v>
      </c>
    </row>
    <row r="21" spans="1:32" ht="14.25">
      <c r="A21" s="9">
        <v>20</v>
      </c>
      <c r="B21" s="1" t="s">
        <v>408</v>
      </c>
      <c r="C21" s="1" t="s">
        <v>409</v>
      </c>
      <c r="D21" s="1">
        <v>0</v>
      </c>
      <c r="E21" s="256" t="s">
        <v>410</v>
      </c>
      <c r="F21" s="10">
        <v>546028400000</v>
      </c>
      <c r="G21" s="379" t="s">
        <v>307</v>
      </c>
      <c r="H21" s="11">
        <v>6263220</v>
      </c>
      <c r="I21" s="262" t="s">
        <v>411</v>
      </c>
      <c r="J21" s="11">
        <v>3869608</v>
      </c>
      <c r="K21" s="60" t="s">
        <v>412</v>
      </c>
      <c r="L21" s="11">
        <v>296003</v>
      </c>
      <c r="M21" s="120">
        <f t="shared" si="5"/>
        <v>4.7260514559603527E-2</v>
      </c>
      <c r="N21" s="11">
        <v>259767</v>
      </c>
      <c r="O21" s="121">
        <f t="shared" si="0"/>
        <v>8.8735506656320545E-2</v>
      </c>
      <c r="P21" s="11">
        <v>133489</v>
      </c>
      <c r="Q21" s="121">
        <f t="shared" si="1"/>
        <v>0.11004866506365735</v>
      </c>
      <c r="R21" s="11">
        <v>187346</v>
      </c>
      <c r="S21" s="121">
        <f t="shared" si="2"/>
        <v>0.13996075501100072</v>
      </c>
      <c r="T21" s="11">
        <v>255959</v>
      </c>
      <c r="U21" s="121">
        <f t="shared" si="3"/>
        <v>0.18082775313656554</v>
      </c>
      <c r="V21" s="25" t="s">
        <v>310</v>
      </c>
      <c r="W21" s="20">
        <v>0.14699999999999999</v>
      </c>
      <c r="X21" s="20">
        <f t="shared" si="4"/>
        <v>0.85299999999999998</v>
      </c>
      <c r="Y21" s="1" t="s">
        <v>311</v>
      </c>
      <c r="Z21" s="1" t="s">
        <v>326</v>
      </c>
      <c r="AA21" s="1" t="s">
        <v>326</v>
      </c>
      <c r="AB21" s="65" t="s">
        <v>313</v>
      </c>
      <c r="AC21" s="267">
        <v>0.70046801872074904</v>
      </c>
      <c r="AD21" s="267">
        <v>0.24963924963924999</v>
      </c>
      <c r="AE21" s="267">
        <v>6.4048449256744397E-2</v>
      </c>
      <c r="AF21" s="268">
        <v>0.16222222222222199</v>
      </c>
    </row>
    <row r="22" spans="1:32" ht="14.25">
      <c r="A22" s="9">
        <v>21</v>
      </c>
      <c r="B22" s="1" t="s">
        <v>413</v>
      </c>
      <c r="C22" s="1" t="s">
        <v>414</v>
      </c>
      <c r="D22" s="1">
        <v>1</v>
      </c>
      <c r="E22" s="256" t="s">
        <v>415</v>
      </c>
      <c r="F22" s="10">
        <v>778523400000</v>
      </c>
      <c r="G22" s="65" t="s">
        <v>307</v>
      </c>
      <c r="H22" s="11">
        <v>7136171</v>
      </c>
      <c r="I22" s="262" t="s">
        <v>416</v>
      </c>
      <c r="J22" s="11">
        <v>4937380</v>
      </c>
      <c r="K22" s="60" t="s">
        <v>417</v>
      </c>
      <c r="L22" s="11">
        <v>347228</v>
      </c>
      <c r="M22" s="120">
        <f t="shared" si="5"/>
        <v>4.8657466307912185E-2</v>
      </c>
      <c r="N22" s="11">
        <v>323775</v>
      </c>
      <c r="O22" s="121">
        <f t="shared" si="0"/>
        <v>9.4028436258043704E-2</v>
      </c>
      <c r="P22" s="11">
        <v>176617</v>
      </c>
      <c r="Q22" s="121">
        <f t="shared" si="1"/>
        <v>0.11877798331906564</v>
      </c>
      <c r="R22" s="11">
        <v>163751</v>
      </c>
      <c r="S22" s="121">
        <f t="shared" si="2"/>
        <v>0.14172460273163298</v>
      </c>
      <c r="T22" s="11">
        <v>245565</v>
      </c>
      <c r="U22" s="121">
        <f t="shared" si="3"/>
        <v>0.17613591378345614</v>
      </c>
      <c r="V22" s="25" t="s">
        <v>310</v>
      </c>
      <c r="W22" s="20">
        <v>8.900000000000001E-2</v>
      </c>
      <c r="X22" s="20">
        <f t="shared" si="4"/>
        <v>0.91100000000000003</v>
      </c>
      <c r="Y22" s="1" t="s">
        <v>347</v>
      </c>
      <c r="Z22" s="1" t="s">
        <v>326</v>
      </c>
      <c r="AA22" s="1" t="s">
        <v>326</v>
      </c>
      <c r="AB22" s="65" t="s">
        <v>313</v>
      </c>
      <c r="AC22" s="267">
        <v>0.68970189701897</v>
      </c>
      <c r="AD22" s="267">
        <v>0.21198910081743899</v>
      </c>
      <c r="AE22" s="267">
        <v>6.6965462694437095E-2</v>
      </c>
      <c r="AF22" s="268">
        <v>0.17073170731707299</v>
      </c>
    </row>
    <row r="23" spans="1:32" ht="14.25">
      <c r="A23" s="9">
        <v>22</v>
      </c>
      <c r="B23" s="1" t="s">
        <v>418</v>
      </c>
      <c r="C23" s="1" t="s">
        <v>419</v>
      </c>
      <c r="D23" s="1">
        <v>1</v>
      </c>
      <c r="E23" s="256" t="s">
        <v>420</v>
      </c>
      <c r="F23" s="10">
        <v>702466900000</v>
      </c>
      <c r="G23" s="379" t="s">
        <v>307</v>
      </c>
      <c r="H23" s="11">
        <v>10140459</v>
      </c>
      <c r="I23" s="262" t="s">
        <v>421</v>
      </c>
      <c r="J23" s="11">
        <v>5803660</v>
      </c>
      <c r="K23" s="60" t="s">
        <v>422</v>
      </c>
      <c r="L23" s="11">
        <v>649581</v>
      </c>
      <c r="M23" s="120">
        <f t="shared" si="5"/>
        <v>6.4058342921163622E-2</v>
      </c>
      <c r="N23" s="11">
        <v>685278</v>
      </c>
      <c r="O23" s="121">
        <f t="shared" si="0"/>
        <v>0.13163694069469636</v>
      </c>
      <c r="P23" s="11">
        <v>353611</v>
      </c>
      <c r="Q23" s="121">
        <f t="shared" si="1"/>
        <v>0.16650824188530322</v>
      </c>
      <c r="R23" s="11">
        <v>379683</v>
      </c>
      <c r="S23" s="121">
        <f t="shared" si="2"/>
        <v>0.20395062984821496</v>
      </c>
      <c r="T23" s="11">
        <v>573776</v>
      </c>
      <c r="U23" s="121">
        <f t="shared" si="3"/>
        <v>0.26053347289309092</v>
      </c>
      <c r="V23" s="25" t="s">
        <v>310</v>
      </c>
      <c r="W23" s="20">
        <v>0.27100000000000002</v>
      </c>
      <c r="X23" s="20">
        <f t="shared" si="4"/>
        <v>0.72899999999999998</v>
      </c>
      <c r="Y23" s="1" t="s">
        <v>377</v>
      </c>
      <c r="Z23" s="1" t="s">
        <v>326</v>
      </c>
      <c r="AA23" s="1" t="s">
        <v>423</v>
      </c>
      <c r="AB23" s="65" t="s">
        <v>313</v>
      </c>
      <c r="AC23" s="267">
        <v>0.792713567839196</v>
      </c>
      <c r="AD23" s="267">
        <v>0.30640580624802799</v>
      </c>
      <c r="AE23" s="267">
        <v>0.100551654964895</v>
      </c>
      <c r="AF23" s="268">
        <v>0.244019138755981</v>
      </c>
    </row>
    <row r="24" spans="1:32" ht="14.25">
      <c r="A24" s="9">
        <v>23</v>
      </c>
      <c r="B24" s="1" t="s">
        <v>424</v>
      </c>
      <c r="C24" s="1" t="s">
        <v>425</v>
      </c>
      <c r="D24" s="1">
        <v>0</v>
      </c>
      <c r="E24" s="256" t="s">
        <v>426</v>
      </c>
      <c r="F24" s="10">
        <v>507687800000</v>
      </c>
      <c r="G24" s="379" t="s">
        <v>307</v>
      </c>
      <c r="H24" s="11">
        <v>5793151</v>
      </c>
      <c r="I24" s="262" t="s">
        <v>427</v>
      </c>
      <c r="J24" s="11">
        <v>3799319</v>
      </c>
      <c r="K24" s="60" t="s">
        <v>428</v>
      </c>
      <c r="L24" s="11">
        <v>261360</v>
      </c>
      <c r="M24" s="120">
        <f t="shared" si="5"/>
        <v>4.5115343963932582E-2</v>
      </c>
      <c r="N24" s="11">
        <v>268038</v>
      </c>
      <c r="O24" s="121">
        <f t="shared" si="0"/>
        <v>9.1383428465786579E-2</v>
      </c>
      <c r="P24" s="11">
        <v>170027</v>
      </c>
      <c r="Q24" s="121">
        <f t="shared" si="1"/>
        <v>0.12073308636353515</v>
      </c>
      <c r="R24" s="11">
        <v>167509</v>
      </c>
      <c r="S24" s="121">
        <f t="shared" si="2"/>
        <v>0.14964809306714083</v>
      </c>
      <c r="T24" s="11">
        <v>251712</v>
      </c>
      <c r="U24" s="121">
        <f t="shared" si="3"/>
        <v>0.1930980221299255</v>
      </c>
      <c r="V24" s="25" t="s">
        <v>310</v>
      </c>
      <c r="W24" s="20">
        <v>0.28899999999999998</v>
      </c>
      <c r="X24" s="20">
        <f t="shared" si="4"/>
        <v>0.71100000000000008</v>
      </c>
      <c r="Y24" s="1" t="s">
        <v>377</v>
      </c>
      <c r="Z24" s="1" t="s">
        <v>326</v>
      </c>
      <c r="AA24" s="1" t="s">
        <v>423</v>
      </c>
      <c r="AB24" s="65" t="s">
        <v>313</v>
      </c>
      <c r="AC24" s="267">
        <v>0.65073529411764697</v>
      </c>
      <c r="AD24" s="267">
        <v>0.21962221595714701</v>
      </c>
      <c r="AE24" s="267">
        <v>6.7438585510874699E-2</v>
      </c>
      <c r="AF24" s="268">
        <v>0.14239482200647199</v>
      </c>
    </row>
    <row r="25" spans="1:32" ht="14.25">
      <c r="A25" s="9">
        <v>24</v>
      </c>
      <c r="B25" s="1" t="s">
        <v>429</v>
      </c>
      <c r="C25" s="1" t="s">
        <v>430</v>
      </c>
      <c r="D25" s="1">
        <v>0</v>
      </c>
      <c r="E25" s="256" t="s">
        <v>431</v>
      </c>
      <c r="F25" s="10">
        <v>158192400000</v>
      </c>
      <c r="G25" s="379" t="s">
        <v>307</v>
      </c>
      <c r="H25" s="11">
        <v>2943045</v>
      </c>
      <c r="I25" s="262" t="s">
        <v>432</v>
      </c>
      <c r="J25" s="11">
        <v>1666078</v>
      </c>
      <c r="K25" s="60" t="s">
        <v>433</v>
      </c>
      <c r="L25" s="11">
        <v>243364</v>
      </c>
      <c r="M25" s="120">
        <f t="shared" si="5"/>
        <v>8.2691226263954504E-2</v>
      </c>
      <c r="N25" s="11">
        <v>264355</v>
      </c>
      <c r="O25" s="121">
        <f t="shared" si="0"/>
        <v>0.17251486130861063</v>
      </c>
      <c r="P25" s="11">
        <v>139452</v>
      </c>
      <c r="Q25" s="121">
        <f t="shared" si="1"/>
        <v>0.21989843852200697</v>
      </c>
      <c r="R25" s="11">
        <v>162862</v>
      </c>
      <c r="S25" s="121">
        <f t="shared" si="2"/>
        <v>0.275236362339006</v>
      </c>
      <c r="T25" s="11">
        <v>210945</v>
      </c>
      <c r="U25" s="121">
        <f t="shared" si="3"/>
        <v>0.34691212672589106</v>
      </c>
      <c r="V25" s="25" t="s">
        <v>310</v>
      </c>
      <c r="W25" s="20">
        <v>0.54400000000000004</v>
      </c>
      <c r="X25" s="20">
        <f t="shared" si="4"/>
        <v>0.45599999999999996</v>
      </c>
      <c r="Y25" s="1" t="s">
        <v>311</v>
      </c>
      <c r="Z25" s="1" t="s">
        <v>312</v>
      </c>
      <c r="AA25" s="1" t="s">
        <v>312</v>
      </c>
      <c r="AB25" s="65" t="s">
        <v>313</v>
      </c>
      <c r="AC25" s="267">
        <v>0.69633507853403098</v>
      </c>
      <c r="AD25" s="267">
        <v>0.359649122807018</v>
      </c>
      <c r="AE25" s="267">
        <v>0.15771526001705</v>
      </c>
      <c r="AF25" s="268">
        <v>0.13636363636363599</v>
      </c>
    </row>
    <row r="26" spans="1:32" ht="14.25">
      <c r="A26" s="9">
        <v>25</v>
      </c>
      <c r="B26" s="1" t="s">
        <v>434</v>
      </c>
      <c r="C26" s="1" t="s">
        <v>435</v>
      </c>
      <c r="D26" s="1">
        <v>0</v>
      </c>
      <c r="E26" s="256" t="s">
        <v>436</v>
      </c>
      <c r="F26" s="10">
        <v>448713700000</v>
      </c>
      <c r="G26" s="379" t="s">
        <v>307</v>
      </c>
      <c r="H26" s="11">
        <v>6245466</v>
      </c>
      <c r="I26" s="262" t="s">
        <v>437</v>
      </c>
      <c r="J26" s="11">
        <v>3879856</v>
      </c>
      <c r="K26" s="60" t="s">
        <v>438</v>
      </c>
      <c r="L26" s="11">
        <v>357931</v>
      </c>
      <c r="M26" s="120">
        <f t="shared" si="5"/>
        <v>5.731053535476776E-2</v>
      </c>
      <c r="N26" s="11">
        <v>387432</v>
      </c>
      <c r="O26" s="121">
        <f t="shared" si="0"/>
        <v>0.11934465738825574</v>
      </c>
      <c r="P26" s="11">
        <v>222452</v>
      </c>
      <c r="Q26" s="121">
        <f t="shared" si="1"/>
        <v>0.15496281622540256</v>
      </c>
      <c r="R26" s="11">
        <v>243629</v>
      </c>
      <c r="S26" s="121">
        <f t="shared" si="2"/>
        <v>0.1939717548698528</v>
      </c>
      <c r="T26" s="11">
        <v>356970</v>
      </c>
      <c r="U26" s="121">
        <f t="shared" si="3"/>
        <v>0.25112841859998919</v>
      </c>
      <c r="V26" s="25" t="s">
        <v>310</v>
      </c>
      <c r="W26" s="20">
        <v>0.308</v>
      </c>
      <c r="X26" s="20">
        <f t="shared" si="4"/>
        <v>0.69199999999999995</v>
      </c>
      <c r="Y26" s="1" t="s">
        <v>377</v>
      </c>
      <c r="Z26" s="1" t="s">
        <v>312</v>
      </c>
      <c r="AA26" s="1" t="s">
        <v>312</v>
      </c>
      <c r="AB26" s="65" t="s">
        <v>313</v>
      </c>
      <c r="AC26" s="267">
        <v>0.740229885057471</v>
      </c>
      <c r="AD26" s="267">
        <v>0.303769401330377</v>
      </c>
      <c r="AE26" s="267">
        <v>0.10168302945301499</v>
      </c>
      <c r="AF26" s="268">
        <v>0.216589861751152</v>
      </c>
    </row>
    <row r="27" spans="1:32" ht="14.25">
      <c r="A27" s="9">
        <v>26</v>
      </c>
      <c r="B27" s="1" t="s">
        <v>439</v>
      </c>
      <c r="C27" s="1" t="s">
        <v>440</v>
      </c>
      <c r="D27" s="1">
        <v>0</v>
      </c>
      <c r="E27" s="256" t="s">
        <v>441</v>
      </c>
      <c r="F27" s="10">
        <v>78441000000</v>
      </c>
      <c r="G27" s="379" t="s">
        <v>307</v>
      </c>
      <c r="H27" s="11">
        <v>1137233</v>
      </c>
      <c r="I27" s="262" t="s">
        <v>442</v>
      </c>
      <c r="J27" s="11">
        <v>737303</v>
      </c>
      <c r="K27" s="60" t="s">
        <v>443</v>
      </c>
      <c r="L27" s="11">
        <v>52764</v>
      </c>
      <c r="M27" s="120">
        <f t="shared" si="5"/>
        <v>4.6396824573328423E-2</v>
      </c>
      <c r="N27" s="11">
        <v>60920</v>
      </c>
      <c r="O27" s="121">
        <f t="shared" si="0"/>
        <v>9.9965442437917301E-2</v>
      </c>
      <c r="P27" s="11">
        <v>37498</v>
      </c>
      <c r="Q27" s="121">
        <f t="shared" si="1"/>
        <v>0.132938456763038</v>
      </c>
      <c r="R27" s="11">
        <v>45325</v>
      </c>
      <c r="S27" s="121">
        <f t="shared" si="2"/>
        <v>0.17279396570447744</v>
      </c>
      <c r="T27" s="11">
        <v>63596</v>
      </c>
      <c r="U27" s="121">
        <f t="shared" si="3"/>
        <v>0.22871566336889626</v>
      </c>
      <c r="V27" s="25" t="s">
        <v>310</v>
      </c>
      <c r="W27" s="20">
        <v>0.47100000000000003</v>
      </c>
      <c r="X27" s="20">
        <f t="shared" si="4"/>
        <v>0.52899999999999991</v>
      </c>
      <c r="Y27" s="1" t="s">
        <v>319</v>
      </c>
      <c r="Z27" s="1" t="s">
        <v>312</v>
      </c>
      <c r="AA27" s="1" t="s">
        <v>312</v>
      </c>
      <c r="AB27" s="65" t="s">
        <v>313</v>
      </c>
      <c r="AC27" s="267">
        <v>0.74509803921568596</v>
      </c>
      <c r="AD27" s="267">
        <v>0.23615023474178401</v>
      </c>
      <c r="AE27" s="267">
        <v>8.0481036077705806E-2</v>
      </c>
      <c r="AF27" s="268">
        <v>0.19154929577464799</v>
      </c>
    </row>
    <row r="28" spans="1:32" ht="14.25">
      <c r="A28" s="9">
        <v>27</v>
      </c>
      <c r="B28" s="1" t="s">
        <v>444</v>
      </c>
      <c r="C28" s="1" t="s">
        <v>445</v>
      </c>
      <c r="D28" s="1">
        <v>0</v>
      </c>
      <c r="E28" s="256" t="s">
        <v>446</v>
      </c>
      <c r="F28" s="10">
        <v>189242700000</v>
      </c>
      <c r="G28" s="379" t="s">
        <v>307</v>
      </c>
      <c r="H28" s="11">
        <v>2005465</v>
      </c>
      <c r="I28" s="262" t="s">
        <v>447</v>
      </c>
      <c r="J28" s="11">
        <v>1357391</v>
      </c>
      <c r="K28" s="60" t="s">
        <v>448</v>
      </c>
      <c r="L28" s="11">
        <v>105147</v>
      </c>
      <c r="M28" s="120">
        <f t="shared" si="5"/>
        <v>5.2430234384544236E-2</v>
      </c>
      <c r="N28" s="11">
        <v>107646</v>
      </c>
      <c r="O28" s="121">
        <f t="shared" si="0"/>
        <v>0.10610656381437722</v>
      </c>
      <c r="P28" s="11">
        <v>67962</v>
      </c>
      <c r="Q28" s="121">
        <f t="shared" si="1"/>
        <v>0.13999496376152165</v>
      </c>
      <c r="R28" s="11">
        <v>69239</v>
      </c>
      <c r="S28" s="121">
        <f t="shared" si="2"/>
        <v>0.17452012376182083</v>
      </c>
      <c r="T28" s="11">
        <v>115670</v>
      </c>
      <c r="U28" s="121">
        <f t="shared" si="3"/>
        <v>0.23219752027584625</v>
      </c>
      <c r="V28" s="25" t="s">
        <v>310</v>
      </c>
      <c r="W28" s="20">
        <v>0.28100000000000003</v>
      </c>
      <c r="X28" s="20">
        <f t="shared" si="4"/>
        <v>0.71899999999999997</v>
      </c>
      <c r="Y28" s="1" t="s">
        <v>377</v>
      </c>
      <c r="Z28" s="1" t="s">
        <v>312</v>
      </c>
      <c r="AA28" s="1" t="s">
        <v>312</v>
      </c>
      <c r="AB28" s="65" t="s">
        <v>313</v>
      </c>
      <c r="AC28" s="267">
        <v>0.71920529801324495</v>
      </c>
      <c r="AD28" s="267">
        <v>0.243066884176183</v>
      </c>
      <c r="AE28" s="267">
        <v>0.11571604431678301</v>
      </c>
      <c r="AF28" s="268">
        <v>0.20785219399538099</v>
      </c>
    </row>
    <row r="29" spans="1:32" ht="14.25">
      <c r="A29" s="9">
        <v>28</v>
      </c>
      <c r="B29" s="1" t="s">
        <v>449</v>
      </c>
      <c r="C29" s="1" t="s">
        <v>450</v>
      </c>
      <c r="D29" s="1">
        <v>0</v>
      </c>
      <c r="E29" s="256" t="s">
        <v>451</v>
      </c>
      <c r="F29" s="10">
        <v>269010500000</v>
      </c>
      <c r="G29" s="379" t="s">
        <v>307</v>
      </c>
      <c r="H29" s="11">
        <v>3267467</v>
      </c>
      <c r="I29" s="262" t="s">
        <v>452</v>
      </c>
      <c r="J29" s="11">
        <v>2043934</v>
      </c>
      <c r="K29" s="60" t="s">
        <v>453</v>
      </c>
      <c r="L29" s="11">
        <v>185862</v>
      </c>
      <c r="M29" s="120">
        <f t="shared" si="5"/>
        <v>5.6882594376622624E-2</v>
      </c>
      <c r="N29" s="11">
        <v>188171</v>
      </c>
      <c r="O29" s="121">
        <f t="shared" si="0"/>
        <v>0.1144718523553566</v>
      </c>
      <c r="P29" s="11">
        <v>114933</v>
      </c>
      <c r="Q29" s="121">
        <f t="shared" si="1"/>
        <v>0.14964680592030463</v>
      </c>
      <c r="R29" s="11">
        <v>135964</v>
      </c>
      <c r="S29" s="121">
        <f t="shared" si="2"/>
        <v>0.19125824377109241</v>
      </c>
      <c r="T29" s="11">
        <v>197211</v>
      </c>
      <c r="U29" s="121">
        <f t="shared" si="3"/>
        <v>0.25161417085467119</v>
      </c>
      <c r="V29" s="25" t="s">
        <v>310</v>
      </c>
      <c r="W29" s="20">
        <v>6.2E-2</v>
      </c>
      <c r="X29" s="20">
        <f t="shared" si="4"/>
        <v>0.93799999999999994</v>
      </c>
      <c r="Y29" s="1" t="s">
        <v>319</v>
      </c>
      <c r="Z29" s="1" t="s">
        <v>312</v>
      </c>
      <c r="AA29" s="1" t="s">
        <v>326</v>
      </c>
      <c r="AB29" s="65" t="s">
        <v>313</v>
      </c>
      <c r="AC29" s="267">
        <v>0.68831168831168799</v>
      </c>
      <c r="AD29" s="267">
        <v>0.220314735336195</v>
      </c>
      <c r="AE29" s="267">
        <v>7.7188940092165897E-2</v>
      </c>
      <c r="AF29" s="268">
        <v>0.14173228346456701</v>
      </c>
    </row>
    <row r="30" spans="1:32" ht="14.25">
      <c r="A30" s="9">
        <v>29</v>
      </c>
      <c r="B30" s="1" t="s">
        <v>454</v>
      </c>
      <c r="C30" s="1" t="s">
        <v>455</v>
      </c>
      <c r="D30" s="1">
        <v>0</v>
      </c>
      <c r="E30" s="256" t="s">
        <v>456</v>
      </c>
      <c r="F30" s="10">
        <v>119336600000</v>
      </c>
      <c r="G30" s="379" t="s">
        <v>307</v>
      </c>
      <c r="H30" s="11">
        <v>1409032</v>
      </c>
      <c r="I30" s="262" t="s">
        <v>457</v>
      </c>
      <c r="J30" s="11">
        <v>918549</v>
      </c>
      <c r="K30" s="60" t="s">
        <v>458</v>
      </c>
      <c r="L30" s="11">
        <v>53315</v>
      </c>
      <c r="M30" s="120">
        <f t="shared" si="5"/>
        <v>3.7838033486819321E-2</v>
      </c>
      <c r="N30" s="11">
        <v>45281</v>
      </c>
      <c r="O30" s="121">
        <f t="shared" si="0"/>
        <v>6.9974280215069642E-2</v>
      </c>
      <c r="P30" s="11">
        <v>24256</v>
      </c>
      <c r="Q30" s="121">
        <f t="shared" si="1"/>
        <v>8.71889353825889E-2</v>
      </c>
      <c r="R30" s="11">
        <v>31085</v>
      </c>
      <c r="S30" s="121">
        <f t="shared" si="2"/>
        <v>0.10925018026560078</v>
      </c>
      <c r="T30" s="11">
        <v>49816</v>
      </c>
      <c r="U30" s="121">
        <f t="shared" si="3"/>
        <v>0.14460494864559498</v>
      </c>
      <c r="V30" s="25" t="s">
        <v>310</v>
      </c>
      <c r="W30" s="20">
        <v>0.42399999999999999</v>
      </c>
      <c r="X30" s="20">
        <f t="shared" si="4"/>
        <v>0.57600000000000007</v>
      </c>
      <c r="Y30" s="1" t="s">
        <v>347</v>
      </c>
      <c r="Z30" s="1" t="s">
        <v>312</v>
      </c>
      <c r="AA30" s="1" t="s">
        <v>312</v>
      </c>
      <c r="AB30" s="65" t="s">
        <v>313</v>
      </c>
      <c r="AC30" s="267">
        <v>0.68098159509202405</v>
      </c>
      <c r="AD30" s="267">
        <v>0.198255352894528</v>
      </c>
      <c r="AE30" s="267">
        <v>4.8356807511737099E-2</v>
      </c>
      <c r="AF30" s="268">
        <v>0.157407407407407</v>
      </c>
    </row>
    <row r="31" spans="1:32" ht="14.25">
      <c r="A31" s="9">
        <v>30</v>
      </c>
      <c r="B31" s="1" t="s">
        <v>459</v>
      </c>
      <c r="C31" s="1" t="s">
        <v>460</v>
      </c>
      <c r="D31" s="1">
        <v>0</v>
      </c>
      <c r="E31" s="256" t="s">
        <v>461</v>
      </c>
      <c r="F31" s="10">
        <v>846000400000</v>
      </c>
      <c r="G31" s="379" t="s">
        <v>307</v>
      </c>
      <c r="H31" s="11">
        <v>9500851</v>
      </c>
      <c r="I31" s="262" t="s">
        <v>462</v>
      </c>
      <c r="J31" s="11">
        <v>5874321</v>
      </c>
      <c r="K31" s="60" t="s">
        <v>463</v>
      </c>
      <c r="L31" s="11">
        <v>438504</v>
      </c>
      <c r="M31" s="120">
        <f t="shared" si="5"/>
        <v>4.6154181346492011E-2</v>
      </c>
      <c r="N31" s="11">
        <v>420525</v>
      </c>
      <c r="O31" s="121">
        <f t="shared" si="0"/>
        <v>9.0416005892524784E-2</v>
      </c>
      <c r="P31" s="11">
        <v>250373</v>
      </c>
      <c r="Q31" s="121">
        <f t="shared" si="1"/>
        <v>0.11676869787769538</v>
      </c>
      <c r="R31" s="11">
        <v>262069</v>
      </c>
      <c r="S31" s="121">
        <f t="shared" si="2"/>
        <v>0.14435243748165297</v>
      </c>
      <c r="T31" s="11">
        <v>390865</v>
      </c>
      <c r="U31" s="121">
        <f t="shared" si="3"/>
        <v>0.18549243641438015</v>
      </c>
      <c r="V31" s="25" t="s">
        <v>310</v>
      </c>
      <c r="W31" s="20">
        <v>6.3E-2</v>
      </c>
      <c r="X31" s="20">
        <f t="shared" si="4"/>
        <v>0.93700000000000006</v>
      </c>
      <c r="Y31" s="1" t="s">
        <v>347</v>
      </c>
      <c r="Z31" s="1" t="s">
        <v>326</v>
      </c>
      <c r="AA31" s="1" t="s">
        <v>326</v>
      </c>
      <c r="AB31" s="65" t="s">
        <v>313</v>
      </c>
      <c r="AC31" s="267">
        <v>0.71744471744471705</v>
      </c>
      <c r="AD31" s="267">
        <v>0.22506234413965101</v>
      </c>
      <c r="AE31" s="267">
        <v>7.2080023536334206E-2</v>
      </c>
      <c r="AF31" s="268">
        <v>0.23529411764705899</v>
      </c>
    </row>
    <row r="32" spans="1:32" ht="14.25">
      <c r="A32" s="9">
        <v>31</v>
      </c>
      <c r="B32" s="1" t="s">
        <v>464</v>
      </c>
      <c r="C32" s="1" t="s">
        <v>465</v>
      </c>
      <c r="D32" s="1">
        <v>0</v>
      </c>
      <c r="E32" s="256" t="s">
        <v>466</v>
      </c>
      <c r="F32" s="10">
        <v>147084900000</v>
      </c>
      <c r="G32" s="379" t="s">
        <v>307</v>
      </c>
      <c r="H32" s="11">
        <v>2130256</v>
      </c>
      <c r="I32" s="262" t="s">
        <v>467</v>
      </c>
      <c r="J32" s="11">
        <v>1131162</v>
      </c>
      <c r="K32" s="60" t="s">
        <v>468</v>
      </c>
      <c r="L32" s="11">
        <v>170578</v>
      </c>
      <c r="M32" s="120">
        <f t="shared" si="5"/>
        <v>8.0073944164457234E-2</v>
      </c>
      <c r="N32" s="11">
        <v>172657</v>
      </c>
      <c r="O32" s="121">
        <f t="shared" si="0"/>
        <v>0.16112382737098263</v>
      </c>
      <c r="P32" s="11">
        <v>95785</v>
      </c>
      <c r="Q32" s="121">
        <f t="shared" si="1"/>
        <v>0.20608790680556702</v>
      </c>
      <c r="R32" s="11">
        <v>99822</v>
      </c>
      <c r="S32" s="121">
        <f t="shared" si="2"/>
        <v>0.2529470636392997</v>
      </c>
      <c r="T32" s="11">
        <v>123546</v>
      </c>
      <c r="U32" s="121">
        <f t="shared" si="3"/>
        <v>0.31094291014788833</v>
      </c>
      <c r="V32" s="25" t="s">
        <v>310</v>
      </c>
      <c r="W32" s="20">
        <v>0.247</v>
      </c>
      <c r="X32" s="20">
        <f t="shared" si="4"/>
        <v>0.753</v>
      </c>
      <c r="Y32" s="1" t="s">
        <v>319</v>
      </c>
      <c r="Z32" s="1" t="s">
        <v>326</v>
      </c>
      <c r="AA32" s="1" t="s">
        <v>326</v>
      </c>
      <c r="AB32" s="65" t="s">
        <v>313</v>
      </c>
      <c r="AC32" s="267">
        <v>0.69732937685459895</v>
      </c>
      <c r="AD32" s="267">
        <v>0.28075396825396798</v>
      </c>
      <c r="AE32" s="267">
        <v>0.104187946884576</v>
      </c>
      <c r="AF32" s="268">
        <v>0.15079365079365101</v>
      </c>
    </row>
    <row r="33" spans="1:32" ht="14.25">
      <c r="A33" s="9">
        <v>32</v>
      </c>
      <c r="B33" s="1" t="s">
        <v>469</v>
      </c>
      <c r="C33" s="1" t="s">
        <v>470</v>
      </c>
      <c r="D33" s="1">
        <v>0</v>
      </c>
      <c r="E33" s="256" t="s">
        <v>471</v>
      </c>
      <c r="F33" s="10">
        <v>2322138900000</v>
      </c>
      <c r="G33" s="379" t="s">
        <v>307</v>
      </c>
      <c r="H33" s="11">
        <v>19867248</v>
      </c>
      <c r="I33" s="262" t="s">
        <v>472</v>
      </c>
      <c r="J33" s="11">
        <v>12796836</v>
      </c>
      <c r="K33" s="60" t="s">
        <v>473</v>
      </c>
      <c r="L33" s="11">
        <v>1373122</v>
      </c>
      <c r="M33" s="120">
        <f t="shared" si="5"/>
        <v>6.9114856773318578E-2</v>
      </c>
      <c r="N33" s="11">
        <v>1331677</v>
      </c>
      <c r="O33" s="121">
        <f t="shared" si="0"/>
        <v>0.13614361687134524</v>
      </c>
      <c r="P33" s="11">
        <v>717957</v>
      </c>
      <c r="Q33" s="121">
        <f t="shared" si="1"/>
        <v>0.17228133458645103</v>
      </c>
      <c r="R33" s="11">
        <v>693695</v>
      </c>
      <c r="S33" s="121">
        <f t="shared" si="2"/>
        <v>0.20719784642543346</v>
      </c>
      <c r="T33" s="11">
        <v>918226</v>
      </c>
      <c r="U33" s="121">
        <f t="shared" si="3"/>
        <v>0.25341592353404963</v>
      </c>
      <c r="V33" s="25" t="s">
        <v>310</v>
      </c>
      <c r="W33" s="20">
        <v>0.129</v>
      </c>
      <c r="X33" s="20">
        <f t="shared" si="4"/>
        <v>0.871</v>
      </c>
      <c r="Y33" s="1" t="s">
        <v>347</v>
      </c>
      <c r="Z33" s="1" t="s">
        <v>326</v>
      </c>
      <c r="AA33" s="1" t="s">
        <v>326</v>
      </c>
      <c r="AB33" s="65" t="s">
        <v>313</v>
      </c>
      <c r="AC33" s="267">
        <v>0.73365311789952004</v>
      </c>
      <c r="AD33" s="267">
        <v>0.299651946921906</v>
      </c>
      <c r="AE33" s="267">
        <v>8.1194143373264901E-2</v>
      </c>
      <c r="AF33" s="268">
        <v>0.203804347826087</v>
      </c>
    </row>
    <row r="34" spans="1:32" ht="14.25">
      <c r="A34" s="9">
        <v>33</v>
      </c>
      <c r="B34" s="1" t="s">
        <v>474</v>
      </c>
      <c r="C34" s="1" t="s">
        <v>475</v>
      </c>
      <c r="D34" s="1">
        <v>1</v>
      </c>
      <c r="E34" s="256" t="s">
        <v>476</v>
      </c>
      <c r="F34" s="10">
        <v>844209000000</v>
      </c>
      <c r="G34" s="379" t="s">
        <v>307</v>
      </c>
      <c r="H34" s="11">
        <v>11046024</v>
      </c>
      <c r="I34" s="262" t="s">
        <v>477</v>
      </c>
      <c r="J34" s="11">
        <v>6572997</v>
      </c>
      <c r="K34" s="60" t="s">
        <v>478</v>
      </c>
      <c r="L34" s="11">
        <v>677212</v>
      </c>
      <c r="M34" s="120">
        <f t="shared" si="5"/>
        <v>6.1308213706578948E-2</v>
      </c>
      <c r="N34" s="11">
        <v>672267</v>
      </c>
      <c r="O34" s="121">
        <f t="shared" ref="O34:O51" si="6">($L34+$N34)/$H34</f>
        <v>0.1221687550199058</v>
      </c>
      <c r="P34" s="11">
        <v>414265</v>
      </c>
      <c r="Q34" s="121">
        <f t="shared" ref="Q34:Q51" si="7">($L34+$N34+$P34)/$H34</f>
        <v>0.15967229475510827</v>
      </c>
      <c r="R34" s="11">
        <v>429764</v>
      </c>
      <c r="S34" s="121">
        <f t="shared" ref="S34:S51" si="8">($L34+$N34+$P34+$R34)/$H34</f>
        <v>0.19857896379729031</v>
      </c>
      <c r="T34" s="11">
        <v>632735</v>
      </c>
      <c r="U34" s="121">
        <f t="shared" ref="U34:U51" si="9">($L34+$N34+$P34+$R34+$T34)/$H34</f>
        <v>0.2558606608133388</v>
      </c>
      <c r="V34" s="25" t="s">
        <v>310</v>
      </c>
      <c r="W34" s="20">
        <v>0.33299999999999996</v>
      </c>
      <c r="X34" s="20">
        <f t="shared" ref="X34:X51" si="10">1-W34</f>
        <v>0.66700000000000004</v>
      </c>
      <c r="Y34" s="1" t="s">
        <v>311</v>
      </c>
      <c r="Z34" s="1" t="s">
        <v>326</v>
      </c>
      <c r="AA34" s="1" t="s">
        <v>312</v>
      </c>
      <c r="AB34" s="65" t="s">
        <v>313</v>
      </c>
      <c r="AC34" s="267">
        <v>0.71844660194174803</v>
      </c>
      <c r="AD34" s="267">
        <v>0.280830280830281</v>
      </c>
      <c r="AE34" s="267">
        <v>0.12246192893401001</v>
      </c>
      <c r="AF34" s="268">
        <v>0.17370892018779299</v>
      </c>
    </row>
    <row r="35" spans="1:32" ht="14.25">
      <c r="A35" s="9">
        <v>34</v>
      </c>
      <c r="B35" s="1" t="s">
        <v>479</v>
      </c>
      <c r="C35" s="1" t="s">
        <v>480</v>
      </c>
      <c r="D35" s="1">
        <v>0</v>
      </c>
      <c r="E35" s="256" t="s">
        <v>481</v>
      </c>
      <c r="F35" s="10">
        <v>80058300000</v>
      </c>
      <c r="G35" s="379" t="s">
        <v>307</v>
      </c>
      <c r="H35" s="11">
        <v>796568</v>
      </c>
      <c r="I35" s="262" t="s">
        <v>482</v>
      </c>
      <c r="J35" s="11">
        <v>581410</v>
      </c>
      <c r="K35" s="60" t="s">
        <v>483</v>
      </c>
      <c r="L35" s="11">
        <v>43762</v>
      </c>
      <c r="M35" s="120">
        <f t="shared" ref="M35:M51" si="11">L35/H35</f>
        <v>5.4938184812847117E-2</v>
      </c>
      <c r="N35" s="11">
        <v>41680</v>
      </c>
      <c r="O35" s="121">
        <f t="shared" si="6"/>
        <v>0.10726265679766198</v>
      </c>
      <c r="P35" s="11">
        <v>22536</v>
      </c>
      <c r="Q35" s="121">
        <f t="shared" si="7"/>
        <v>0.13555402677486417</v>
      </c>
      <c r="R35" s="11">
        <v>22512</v>
      </c>
      <c r="S35" s="121">
        <f t="shared" si="8"/>
        <v>0.16381526749756456</v>
      </c>
      <c r="T35" s="11">
        <v>36153</v>
      </c>
      <c r="U35" s="121">
        <f t="shared" si="9"/>
        <v>0.20920122324773277</v>
      </c>
      <c r="V35" s="25" t="s">
        <v>310</v>
      </c>
      <c r="W35" s="20">
        <v>0.39299999999999996</v>
      </c>
      <c r="X35" s="20">
        <f t="shared" si="10"/>
        <v>0.60699999999999998</v>
      </c>
      <c r="Y35" s="1" t="s">
        <v>377</v>
      </c>
      <c r="Z35" s="1" t="s">
        <v>312</v>
      </c>
      <c r="AA35" s="1" t="s">
        <v>312</v>
      </c>
      <c r="AB35" s="65" t="s">
        <v>313</v>
      </c>
      <c r="AC35" s="267">
        <v>0.75384615384615405</v>
      </c>
      <c r="AD35" s="267">
        <v>0.21181001283697001</v>
      </c>
      <c r="AE35" s="267">
        <v>7.6548672566371698E-2</v>
      </c>
      <c r="AF35" s="268">
        <v>0.12448132780083</v>
      </c>
    </row>
    <row r="36" spans="1:32" ht="14.25">
      <c r="A36" s="9">
        <v>35</v>
      </c>
      <c r="B36" s="1" t="s">
        <v>484</v>
      </c>
      <c r="C36" s="1" t="s">
        <v>485</v>
      </c>
      <c r="D36" s="1">
        <v>0</v>
      </c>
      <c r="E36" s="256" t="s">
        <v>486</v>
      </c>
      <c r="F36" s="10">
        <v>923140600000</v>
      </c>
      <c r="G36" s="379" t="s">
        <v>307</v>
      </c>
      <c r="H36" s="11">
        <v>11883304</v>
      </c>
      <c r="I36" s="262" t="s">
        <v>487</v>
      </c>
      <c r="J36" s="11">
        <v>7216118</v>
      </c>
      <c r="K36" s="60" t="s">
        <v>488</v>
      </c>
      <c r="L36" s="11">
        <v>738620</v>
      </c>
      <c r="M36" s="120">
        <f t="shared" si="11"/>
        <v>6.2156114158149957E-2</v>
      </c>
      <c r="N36" s="11">
        <v>729363</v>
      </c>
      <c r="O36" s="121">
        <f t="shared" si="6"/>
        <v>0.12353323621107395</v>
      </c>
      <c r="P36" s="11">
        <v>422646</v>
      </c>
      <c r="Q36" s="121">
        <f t="shared" si="7"/>
        <v>0.15909960731459871</v>
      </c>
      <c r="R36" s="11">
        <v>440494</v>
      </c>
      <c r="S36" s="121">
        <f t="shared" si="8"/>
        <v>0.19616791760944599</v>
      </c>
      <c r="T36" s="11">
        <v>659622</v>
      </c>
      <c r="U36" s="121">
        <f t="shared" si="9"/>
        <v>0.25167621732137796</v>
      </c>
      <c r="V36" s="25" t="s">
        <v>310</v>
      </c>
      <c r="W36" s="20">
        <v>0.24</v>
      </c>
      <c r="X36" s="20">
        <f t="shared" si="10"/>
        <v>0.76</v>
      </c>
      <c r="Y36" s="1" t="s">
        <v>377</v>
      </c>
      <c r="Z36" s="1" t="s">
        <v>312</v>
      </c>
      <c r="AA36" s="1" t="s">
        <v>312</v>
      </c>
      <c r="AB36" s="65" t="s">
        <v>313</v>
      </c>
      <c r="AC36" s="267">
        <v>0.75741710296684095</v>
      </c>
      <c r="AD36" s="267">
        <v>0.33457943925233602</v>
      </c>
      <c r="AE36" s="267">
        <v>9.1787439613526603E-2</v>
      </c>
      <c r="AF36" s="268">
        <v>0.24691358024691401</v>
      </c>
    </row>
    <row r="37" spans="1:32" ht="14.25">
      <c r="A37" s="9">
        <v>36</v>
      </c>
      <c r="B37" s="1" t="s">
        <v>141</v>
      </c>
      <c r="C37" s="1" t="s">
        <v>489</v>
      </c>
      <c r="D37" s="1">
        <v>1</v>
      </c>
      <c r="E37" s="256" t="s">
        <v>490</v>
      </c>
      <c r="F37" s="10">
        <v>263695099999.99997</v>
      </c>
      <c r="G37" s="379" t="s">
        <v>307</v>
      </c>
      <c r="H37" s="11">
        <v>4095393</v>
      </c>
      <c r="I37" s="262" t="s">
        <v>491</v>
      </c>
      <c r="J37" s="11">
        <v>2380642</v>
      </c>
      <c r="K37" s="60" t="s">
        <v>492</v>
      </c>
      <c r="L37" s="11">
        <v>284313</v>
      </c>
      <c r="M37" s="120">
        <f t="shared" si="11"/>
        <v>6.9422641490084105E-2</v>
      </c>
      <c r="N37" s="11">
        <v>308350</v>
      </c>
      <c r="O37" s="121">
        <f t="shared" si="6"/>
        <v>0.14471456097131583</v>
      </c>
      <c r="P37" s="11">
        <v>173054</v>
      </c>
      <c r="Q37" s="121">
        <f t="shared" si="7"/>
        <v>0.18697033471512992</v>
      </c>
      <c r="R37" s="11">
        <v>203651</v>
      </c>
      <c r="S37" s="121">
        <f t="shared" si="8"/>
        <v>0.2366971863261963</v>
      </c>
      <c r="T37" s="11">
        <v>277094</v>
      </c>
      <c r="U37" s="121">
        <f t="shared" si="9"/>
        <v>0.30435711542213412</v>
      </c>
      <c r="V37" s="25" t="s">
        <v>310</v>
      </c>
      <c r="W37" s="20">
        <v>0.35799999999999998</v>
      </c>
      <c r="X37" s="20">
        <f t="shared" si="10"/>
        <v>0.64200000000000002</v>
      </c>
      <c r="Y37" s="1" t="s">
        <v>311</v>
      </c>
      <c r="Z37" s="1" t="s">
        <v>312</v>
      </c>
      <c r="AA37" s="1" t="s">
        <v>312</v>
      </c>
      <c r="AB37" s="65" t="s">
        <v>313</v>
      </c>
      <c r="AC37" s="267">
        <v>0.79778393351800603</v>
      </c>
      <c r="AD37" s="267">
        <v>0.28860190903986499</v>
      </c>
      <c r="AE37" s="267">
        <v>0.117994100294985</v>
      </c>
      <c r="AF37" s="268">
        <v>0.194630872483221</v>
      </c>
    </row>
    <row r="38" spans="1:32" ht="14.25">
      <c r="A38" s="9">
        <v>37</v>
      </c>
      <c r="B38" s="1" t="s">
        <v>493</v>
      </c>
      <c r="C38" s="1" t="s">
        <v>494</v>
      </c>
      <c r="D38" s="1">
        <v>0</v>
      </c>
      <c r="E38" s="256" t="s">
        <v>495</v>
      </c>
      <c r="F38" s="10">
        <v>330250100000</v>
      </c>
      <c r="G38" s="379" t="s">
        <v>307</v>
      </c>
      <c r="H38" s="11">
        <v>4272371</v>
      </c>
      <c r="I38" s="262" t="s">
        <v>496</v>
      </c>
      <c r="J38" s="11">
        <v>2618298</v>
      </c>
      <c r="K38" s="60" t="s">
        <v>497</v>
      </c>
      <c r="L38" s="11">
        <v>245946</v>
      </c>
      <c r="M38" s="120">
        <f t="shared" si="11"/>
        <v>5.7566629864307196E-2</v>
      </c>
      <c r="N38" s="11">
        <v>247850</v>
      </c>
      <c r="O38" s="121">
        <f t="shared" si="6"/>
        <v>0.11557891390986411</v>
      </c>
      <c r="P38" s="11">
        <v>133520</v>
      </c>
      <c r="Q38" s="121">
        <f t="shared" si="7"/>
        <v>0.14683088149413989</v>
      </c>
      <c r="R38" s="11">
        <v>160008</v>
      </c>
      <c r="S38" s="121">
        <f t="shared" si="8"/>
        <v>0.1842826851881543</v>
      </c>
      <c r="T38" s="11">
        <v>198219</v>
      </c>
      <c r="U38" s="121">
        <f t="shared" si="9"/>
        <v>0.23067823463833079</v>
      </c>
      <c r="V38" s="25" t="s">
        <v>310</v>
      </c>
      <c r="W38" s="20">
        <v>0.19699999999999998</v>
      </c>
      <c r="X38" s="20">
        <f t="shared" si="10"/>
        <v>0.80300000000000005</v>
      </c>
      <c r="Y38" s="1" t="s">
        <v>319</v>
      </c>
      <c r="Z38" s="1" t="s">
        <v>326</v>
      </c>
      <c r="AA38" s="1" t="s">
        <v>326</v>
      </c>
      <c r="AB38" s="65" t="s">
        <v>313</v>
      </c>
      <c r="AC38" s="267">
        <v>0.74404761904761896</v>
      </c>
      <c r="AD38" s="267">
        <v>0.29020729092208702</v>
      </c>
      <c r="AE38" s="267">
        <v>7.43801652892562E-2</v>
      </c>
      <c r="AF38" s="268">
        <v>0.325966850828729</v>
      </c>
    </row>
    <row r="39" spans="1:32" ht="14.25">
      <c r="A39" s="9">
        <v>38</v>
      </c>
      <c r="B39" s="1" t="s">
        <v>498</v>
      </c>
      <c r="C39" s="1" t="s">
        <v>499</v>
      </c>
      <c r="D39" s="1">
        <v>0</v>
      </c>
      <c r="E39" s="256" t="s">
        <v>500</v>
      </c>
      <c r="F39" s="10">
        <v>1007873900000</v>
      </c>
      <c r="G39" s="379" t="s">
        <v>307</v>
      </c>
      <c r="H39" s="11">
        <v>13078751</v>
      </c>
      <c r="I39" s="262" t="s">
        <v>501</v>
      </c>
      <c r="J39" s="11">
        <v>7903549</v>
      </c>
      <c r="K39" s="60" t="s">
        <v>502</v>
      </c>
      <c r="L39" s="11">
        <v>704249</v>
      </c>
      <c r="M39" s="120">
        <f t="shared" si="11"/>
        <v>5.3846808460532664E-2</v>
      </c>
      <c r="N39" s="11">
        <v>759987</v>
      </c>
      <c r="O39" s="121">
        <f t="shared" si="6"/>
        <v>0.11195533885460469</v>
      </c>
      <c r="P39" s="11">
        <v>430303</v>
      </c>
      <c r="Q39" s="121">
        <f t="shared" si="7"/>
        <v>0.14485626341536742</v>
      </c>
      <c r="R39" s="11">
        <v>449753</v>
      </c>
      <c r="S39" s="121">
        <f t="shared" si="8"/>
        <v>0.17924433304067033</v>
      </c>
      <c r="T39" s="11">
        <v>638320</v>
      </c>
      <c r="U39" s="121">
        <f t="shared" si="9"/>
        <v>0.22805021672176495</v>
      </c>
      <c r="V39" s="25" t="s">
        <v>310</v>
      </c>
      <c r="W39" s="20">
        <v>0.23600000000000002</v>
      </c>
      <c r="X39" s="20">
        <f t="shared" si="10"/>
        <v>0.76400000000000001</v>
      </c>
      <c r="Y39" s="1" t="s">
        <v>347</v>
      </c>
      <c r="Z39" s="1" t="s">
        <v>326</v>
      </c>
      <c r="AA39" s="1" t="s">
        <v>423</v>
      </c>
      <c r="AB39" s="65" t="s">
        <v>313</v>
      </c>
      <c r="AC39" s="335">
        <v>0.73365311789952004</v>
      </c>
      <c r="AD39" s="335">
        <v>0.299651946921906</v>
      </c>
      <c r="AE39" s="335">
        <v>8.1194143373264901E-2</v>
      </c>
      <c r="AF39" s="336">
        <v>0.203804347826087</v>
      </c>
    </row>
    <row r="40" spans="1:32" ht="14.25">
      <c r="A40" s="9">
        <v>39</v>
      </c>
      <c r="B40" s="1" t="s">
        <v>503</v>
      </c>
      <c r="C40" s="1" t="s">
        <v>504</v>
      </c>
      <c r="D40" s="1">
        <v>0</v>
      </c>
      <c r="E40" s="256" t="s">
        <v>505</v>
      </c>
      <c r="F40" s="10">
        <v>80381100000</v>
      </c>
      <c r="G40" s="379" t="s">
        <v>307</v>
      </c>
      <c r="H40" s="11">
        <v>1112308</v>
      </c>
      <c r="I40" s="262" t="s">
        <v>506</v>
      </c>
      <c r="J40" s="11">
        <v>665718</v>
      </c>
      <c r="K40" s="60" t="s">
        <v>507</v>
      </c>
      <c r="L40" s="11">
        <v>68222</v>
      </c>
      <c r="M40" s="120">
        <f t="shared" si="11"/>
        <v>6.1333731304638643E-2</v>
      </c>
      <c r="N40" s="11">
        <v>62111</v>
      </c>
      <c r="O40" s="121">
        <f t="shared" si="6"/>
        <v>0.11717348072656135</v>
      </c>
      <c r="P40" s="11">
        <v>33271</v>
      </c>
      <c r="Q40" s="121">
        <f t="shared" si="7"/>
        <v>0.14708515986579257</v>
      </c>
      <c r="R40" s="11">
        <v>32806</v>
      </c>
      <c r="S40" s="121">
        <f t="shared" si="8"/>
        <v>0.17657878932813573</v>
      </c>
      <c r="T40" s="11">
        <v>47233</v>
      </c>
      <c r="U40" s="121">
        <f t="shared" si="9"/>
        <v>0.21904274715276703</v>
      </c>
      <c r="V40" s="25" t="s">
        <v>310</v>
      </c>
      <c r="W40" s="20">
        <v>9.6999999999999989E-2</v>
      </c>
      <c r="X40" s="20">
        <f t="shared" si="10"/>
        <v>0.90300000000000002</v>
      </c>
      <c r="Y40" s="1" t="s">
        <v>347</v>
      </c>
      <c r="Z40" s="1" t="s">
        <v>326</v>
      </c>
      <c r="AA40" s="1" t="s">
        <v>326</v>
      </c>
      <c r="AB40" s="65" t="s">
        <v>313</v>
      </c>
      <c r="AC40" s="267">
        <v>0.70614035087719296</v>
      </c>
      <c r="AD40" s="267">
        <v>0.24081020255063801</v>
      </c>
      <c r="AE40" s="267">
        <v>6.6699604743082994E-2</v>
      </c>
      <c r="AF40" s="268">
        <v>0.16814159292035399</v>
      </c>
    </row>
    <row r="41" spans="1:32" ht="14.25">
      <c r="A41" s="9">
        <v>40</v>
      </c>
      <c r="B41" s="1" t="s">
        <v>508</v>
      </c>
      <c r="C41" s="1" t="s">
        <v>509</v>
      </c>
      <c r="D41" s="1">
        <v>0</v>
      </c>
      <c r="E41" s="256" t="s">
        <v>510</v>
      </c>
      <c r="F41" s="10">
        <v>357074400000</v>
      </c>
      <c r="G41" s="379" t="s">
        <v>307</v>
      </c>
      <c r="H41" s="11">
        <v>5478831</v>
      </c>
      <c r="I41" s="262" t="s">
        <v>511</v>
      </c>
      <c r="J41" s="11">
        <v>3056434</v>
      </c>
      <c r="K41" s="60" t="s">
        <v>512</v>
      </c>
      <c r="L41" s="11">
        <v>353128</v>
      </c>
      <c r="M41" s="120">
        <f t="shared" si="11"/>
        <v>6.4453165282886082E-2</v>
      </c>
      <c r="N41" s="11">
        <v>354811</v>
      </c>
      <c r="O41" s="121">
        <f t="shared" si="6"/>
        <v>0.1292135128825839</v>
      </c>
      <c r="P41" s="11">
        <v>215037</v>
      </c>
      <c r="Q41" s="121">
        <f t="shared" si="7"/>
        <v>0.16846221392848218</v>
      </c>
      <c r="R41" s="11">
        <v>207405</v>
      </c>
      <c r="S41" s="121">
        <f t="shared" si="8"/>
        <v>0.2063179170885176</v>
      </c>
      <c r="T41" s="11">
        <v>318719</v>
      </c>
      <c r="U41" s="121">
        <f t="shared" si="9"/>
        <v>0.2644907280403429</v>
      </c>
      <c r="V41" s="25" t="s">
        <v>310</v>
      </c>
      <c r="W41" s="20">
        <v>0.318</v>
      </c>
      <c r="X41" s="20">
        <f t="shared" si="10"/>
        <v>0.68199999999999994</v>
      </c>
      <c r="Y41" s="1" t="s">
        <v>311</v>
      </c>
      <c r="Z41" s="1" t="s">
        <v>312</v>
      </c>
      <c r="AA41" s="1" t="s">
        <v>312</v>
      </c>
      <c r="AB41" s="65" t="s">
        <v>313</v>
      </c>
      <c r="AC41" s="267">
        <v>0.81293302540415702</v>
      </c>
      <c r="AD41" s="267">
        <v>0.31018695154521198</v>
      </c>
      <c r="AE41" s="267">
        <v>0.13249097472924201</v>
      </c>
      <c r="AF41" s="268">
        <v>0.17067833698030599</v>
      </c>
    </row>
    <row r="42" spans="1:32" ht="14.25">
      <c r="A42" s="9">
        <v>41</v>
      </c>
      <c r="B42" s="1" t="s">
        <v>513</v>
      </c>
      <c r="C42" s="1" t="s">
        <v>514</v>
      </c>
      <c r="D42" s="1">
        <v>0</v>
      </c>
      <c r="E42" s="256" t="s">
        <v>515</v>
      </c>
      <c r="F42" s="10">
        <v>76795800000</v>
      </c>
      <c r="G42" s="379" t="s">
        <v>307</v>
      </c>
      <c r="H42" s="11">
        <v>924669</v>
      </c>
      <c r="I42" s="262" t="s">
        <v>516</v>
      </c>
      <c r="J42" s="11">
        <v>641124</v>
      </c>
      <c r="K42" s="60" t="s">
        <v>517</v>
      </c>
      <c r="L42" s="11">
        <v>47030</v>
      </c>
      <c r="M42" s="120">
        <f t="shared" si="11"/>
        <v>5.0861443392176013E-2</v>
      </c>
      <c r="N42" s="11">
        <v>46242</v>
      </c>
      <c r="O42" s="121">
        <f t="shared" si="6"/>
        <v>0.10087068994418544</v>
      </c>
      <c r="P42" s="11">
        <v>25188</v>
      </c>
      <c r="Q42" s="121">
        <f t="shared" si="7"/>
        <v>0.12811070772352051</v>
      </c>
      <c r="R42" s="11">
        <v>27376</v>
      </c>
      <c r="S42" s="121">
        <f t="shared" si="8"/>
        <v>0.15771697764281056</v>
      </c>
      <c r="T42" s="11">
        <v>45936</v>
      </c>
      <c r="U42" s="121">
        <f t="shared" si="9"/>
        <v>0.20739529496500911</v>
      </c>
      <c r="V42" s="25" t="s">
        <v>310</v>
      </c>
      <c r="W42" s="20">
        <v>0.42299999999999999</v>
      </c>
      <c r="X42" s="20">
        <f t="shared" si="10"/>
        <v>0.57699999999999996</v>
      </c>
      <c r="Y42" s="1" t="s">
        <v>377</v>
      </c>
      <c r="Z42" s="1" t="s">
        <v>312</v>
      </c>
      <c r="AA42" s="1" t="s">
        <v>312</v>
      </c>
      <c r="AB42" s="65" t="s">
        <v>313</v>
      </c>
      <c r="AC42" s="267">
        <v>0.83636363636363598</v>
      </c>
      <c r="AD42" s="267">
        <v>0.28272604588394101</v>
      </c>
      <c r="AE42" s="267">
        <v>0.104156479217604</v>
      </c>
      <c r="AF42" s="268">
        <v>0.20783132530120499</v>
      </c>
    </row>
    <row r="43" spans="1:32" ht="14.25">
      <c r="A43" s="9">
        <v>42</v>
      </c>
      <c r="B43" s="1" t="s">
        <v>518</v>
      </c>
      <c r="C43" s="1" t="s">
        <v>519</v>
      </c>
      <c r="D43" s="1">
        <v>0</v>
      </c>
      <c r="E43" s="256" t="s">
        <v>520</v>
      </c>
      <c r="F43" s="10">
        <v>561201200000</v>
      </c>
      <c r="G43" s="379" t="s">
        <v>307</v>
      </c>
      <c r="H43" s="11">
        <v>7227750</v>
      </c>
      <c r="I43" s="262" t="s">
        <v>521</v>
      </c>
      <c r="J43" s="11">
        <v>4488030</v>
      </c>
      <c r="K43" s="60" t="s">
        <v>522</v>
      </c>
      <c r="L43" s="11">
        <v>453779</v>
      </c>
      <c r="M43" s="120">
        <f t="shared" si="11"/>
        <v>6.2782885406938535E-2</v>
      </c>
      <c r="N43" s="11">
        <v>497610</v>
      </c>
      <c r="O43" s="121">
        <f t="shared" si="6"/>
        <v>0.13163003701013454</v>
      </c>
      <c r="P43" s="11">
        <v>284181</v>
      </c>
      <c r="Q43" s="121">
        <f t="shared" si="7"/>
        <v>0.17094808204489639</v>
      </c>
      <c r="R43" s="11">
        <v>295279</v>
      </c>
      <c r="S43" s="121">
        <f t="shared" si="8"/>
        <v>0.21180159800767873</v>
      </c>
      <c r="T43" s="11">
        <v>422660</v>
      </c>
      <c r="U43" s="121">
        <f t="shared" si="9"/>
        <v>0.27027899415447409</v>
      </c>
      <c r="V43" s="25" t="s">
        <v>310</v>
      </c>
      <c r="W43" s="20">
        <v>0.34700000000000003</v>
      </c>
      <c r="X43" s="20">
        <f t="shared" si="10"/>
        <v>0.65300000000000002</v>
      </c>
      <c r="Y43" s="1" t="s">
        <v>311</v>
      </c>
      <c r="Z43" s="1" t="s">
        <v>312</v>
      </c>
      <c r="AA43" s="1" t="s">
        <v>312</v>
      </c>
      <c r="AB43" s="65" t="s">
        <v>313</v>
      </c>
      <c r="AC43" s="335">
        <v>0.77272727272727304</v>
      </c>
      <c r="AD43" s="335">
        <v>0.32325581395348801</v>
      </c>
      <c r="AE43" s="335">
        <v>0.119198312236287</v>
      </c>
      <c r="AF43" s="336">
        <v>0.15533980582524301</v>
      </c>
    </row>
    <row r="44" spans="1:32" ht="14.25">
      <c r="A44" s="9">
        <v>43</v>
      </c>
      <c r="B44" s="1" t="s">
        <v>523</v>
      </c>
      <c r="C44" s="1" t="s">
        <v>524</v>
      </c>
      <c r="D44" s="1">
        <v>1</v>
      </c>
      <c r="E44" s="256" t="s">
        <v>525</v>
      </c>
      <c r="F44" s="10">
        <v>2769766200000</v>
      </c>
      <c r="G44" s="379" t="s">
        <v>307</v>
      </c>
      <c r="H44" s="11">
        <v>31290831</v>
      </c>
      <c r="I44" s="262" t="s">
        <v>526</v>
      </c>
      <c r="J44" s="11">
        <v>19481545</v>
      </c>
      <c r="K44" s="60" t="s">
        <v>527</v>
      </c>
      <c r="L44" s="11">
        <v>1953587</v>
      </c>
      <c r="M44" s="120">
        <f t="shared" si="11"/>
        <v>6.2433209268235798E-2</v>
      </c>
      <c r="N44" s="11">
        <v>2155312</v>
      </c>
      <c r="O44" s="121">
        <f t="shared" si="6"/>
        <v>0.13131319522961854</v>
      </c>
      <c r="P44" s="11">
        <v>1252170</v>
      </c>
      <c r="Q44" s="121">
        <f t="shared" si="7"/>
        <v>0.17133034913646109</v>
      </c>
      <c r="R44" s="11">
        <v>1305898</v>
      </c>
      <c r="S44" s="121">
        <f t="shared" si="8"/>
        <v>0.21306455555622669</v>
      </c>
      <c r="T44" s="11">
        <v>1859075</v>
      </c>
      <c r="U44" s="121">
        <f t="shared" si="9"/>
        <v>0.27247732730396323</v>
      </c>
      <c r="V44" s="25" t="s">
        <v>310</v>
      </c>
      <c r="W44" s="20">
        <v>0.17</v>
      </c>
      <c r="X44" s="20">
        <f t="shared" si="10"/>
        <v>0.83</v>
      </c>
      <c r="Y44" s="1" t="s">
        <v>311</v>
      </c>
      <c r="Z44" s="1" t="s">
        <v>312</v>
      </c>
      <c r="AA44" s="1" t="s">
        <v>312</v>
      </c>
      <c r="AB44" s="65" t="s">
        <v>313</v>
      </c>
      <c r="AC44" s="267">
        <v>0.78873239436619702</v>
      </c>
      <c r="AD44" s="267">
        <v>0.317106460418562</v>
      </c>
      <c r="AE44" s="267">
        <v>0.125464480874317</v>
      </c>
      <c r="AF44" s="268">
        <v>0.184590690208668</v>
      </c>
    </row>
    <row r="45" spans="1:32" ht="14.25">
      <c r="A45" s="9">
        <v>44</v>
      </c>
      <c r="B45" s="1" t="s">
        <v>528</v>
      </c>
      <c r="C45" s="1" t="s">
        <v>529</v>
      </c>
      <c r="D45" s="1">
        <v>0</v>
      </c>
      <c r="E45" s="256" t="s">
        <v>530</v>
      </c>
      <c r="F45" s="10">
        <v>299471300000</v>
      </c>
      <c r="G45" s="379" t="s">
        <v>307</v>
      </c>
      <c r="H45" s="11">
        <v>3503613</v>
      </c>
      <c r="I45" s="262" t="s">
        <v>531</v>
      </c>
      <c r="J45" s="11">
        <v>2339378</v>
      </c>
      <c r="K45" s="60" t="s">
        <v>532</v>
      </c>
      <c r="L45" s="11">
        <v>155521</v>
      </c>
      <c r="M45" s="120">
        <f t="shared" si="11"/>
        <v>4.4388749556529217E-2</v>
      </c>
      <c r="N45" s="11">
        <v>131051</v>
      </c>
      <c r="O45" s="121">
        <f t="shared" si="6"/>
        <v>8.179328025098663E-2</v>
      </c>
      <c r="P45" s="11">
        <v>103700</v>
      </c>
      <c r="Q45" s="121">
        <f t="shared" si="7"/>
        <v>0.11139129806859377</v>
      </c>
      <c r="R45" s="11">
        <v>99763</v>
      </c>
      <c r="S45" s="121">
        <f t="shared" si="8"/>
        <v>0.13986561871987574</v>
      </c>
      <c r="T45" s="11">
        <v>173568</v>
      </c>
      <c r="U45" s="121">
        <f t="shared" si="9"/>
        <v>0.18940533671955206</v>
      </c>
      <c r="V45" s="25" t="s">
        <v>310</v>
      </c>
      <c r="W45" s="20">
        <v>0.10800000000000001</v>
      </c>
      <c r="X45" s="20">
        <f t="shared" si="10"/>
        <v>0.89200000000000002</v>
      </c>
      <c r="Y45" s="1" t="s">
        <v>319</v>
      </c>
      <c r="Z45" s="1" t="s">
        <v>312</v>
      </c>
      <c r="AA45" s="1" t="s">
        <v>312</v>
      </c>
      <c r="AB45" s="65" t="s">
        <v>313</v>
      </c>
      <c r="AC45" s="267">
        <v>0.75231481481481499</v>
      </c>
      <c r="AD45" s="267">
        <v>0.224264705882353</v>
      </c>
      <c r="AE45" s="267">
        <v>0.114623133032303</v>
      </c>
      <c r="AF45" s="268">
        <v>0.16877637130801701</v>
      </c>
    </row>
    <row r="46" spans="1:32" ht="14.25">
      <c r="A46" s="9">
        <v>45</v>
      </c>
      <c r="B46" s="1" t="s">
        <v>533</v>
      </c>
      <c r="C46" s="1" t="s">
        <v>534</v>
      </c>
      <c r="D46" s="1">
        <v>0</v>
      </c>
      <c r="E46" s="256" t="s">
        <v>535</v>
      </c>
      <c r="F46" s="10">
        <v>46276100000</v>
      </c>
      <c r="G46" s="379" t="s">
        <v>307</v>
      </c>
      <c r="H46" s="11">
        <v>648493</v>
      </c>
      <c r="I46" s="262" t="s">
        <v>536</v>
      </c>
      <c r="J46" s="11">
        <v>431273</v>
      </c>
      <c r="K46" s="60" t="s">
        <v>537</v>
      </c>
      <c r="L46" s="11">
        <v>25163</v>
      </c>
      <c r="M46" s="120">
        <f t="shared" si="11"/>
        <v>3.8802269261194802E-2</v>
      </c>
      <c r="N46" s="11">
        <v>31185</v>
      </c>
      <c r="O46" s="121">
        <f t="shared" si="6"/>
        <v>8.689068347692265E-2</v>
      </c>
      <c r="P46" s="11">
        <v>16500</v>
      </c>
      <c r="Q46" s="121">
        <f t="shared" si="7"/>
        <v>0.11233428888206966</v>
      </c>
      <c r="R46" s="11">
        <v>20415</v>
      </c>
      <c r="S46" s="121">
        <f t="shared" si="8"/>
        <v>0.143814967933347</v>
      </c>
      <c r="T46" s="11">
        <v>30554</v>
      </c>
      <c r="U46" s="121">
        <f t="shared" si="9"/>
        <v>0.19093035699691438</v>
      </c>
      <c r="V46" s="25" t="s">
        <v>310</v>
      </c>
      <c r="W46" s="20">
        <v>0.66099999999999992</v>
      </c>
      <c r="X46" s="20">
        <f t="shared" si="10"/>
        <v>0.33900000000000008</v>
      </c>
      <c r="Y46" s="1" t="s">
        <v>347</v>
      </c>
      <c r="Z46" s="1" t="s">
        <v>312</v>
      </c>
      <c r="AA46" s="1" t="s">
        <v>326</v>
      </c>
      <c r="AB46" s="65" t="s">
        <v>313</v>
      </c>
      <c r="AC46" s="267">
        <v>0.61671469740634</v>
      </c>
      <c r="AD46" s="267">
        <v>0.21343873517786599</v>
      </c>
      <c r="AE46" s="267">
        <v>5.6932610379550698E-2</v>
      </c>
      <c r="AF46" s="268">
        <v>0.17006802721088399</v>
      </c>
    </row>
    <row r="47" spans="1:32" ht="14.25">
      <c r="A47" s="9">
        <v>46</v>
      </c>
      <c r="B47" s="1" t="s">
        <v>538</v>
      </c>
      <c r="C47" s="1" t="s">
        <v>539</v>
      </c>
      <c r="D47" s="1">
        <v>0</v>
      </c>
      <c r="E47" s="256" t="s">
        <v>540</v>
      </c>
      <c r="F47" s="10">
        <v>761733800000</v>
      </c>
      <c r="G47" s="379" t="s">
        <v>307</v>
      </c>
      <c r="H47" s="11">
        <v>8811195</v>
      </c>
      <c r="I47" s="262" t="s">
        <v>541</v>
      </c>
      <c r="J47" s="11">
        <v>5540662</v>
      </c>
      <c r="K47" s="60" t="s">
        <v>542</v>
      </c>
      <c r="L47" s="11">
        <v>438874</v>
      </c>
      <c r="M47" s="120">
        <f t="shared" si="11"/>
        <v>4.9808680888347154E-2</v>
      </c>
      <c r="N47" s="11">
        <v>396682</v>
      </c>
      <c r="O47" s="121">
        <f t="shared" si="6"/>
        <v>9.482890799715589E-2</v>
      </c>
      <c r="P47" s="11">
        <v>256150</v>
      </c>
      <c r="Q47" s="121">
        <f t="shared" si="7"/>
        <v>0.1238998796417512</v>
      </c>
      <c r="R47" s="11">
        <v>260363</v>
      </c>
      <c r="S47" s="121">
        <f t="shared" si="8"/>
        <v>0.15344899301400095</v>
      </c>
      <c r="T47" s="11">
        <v>410109</v>
      </c>
      <c r="U47" s="121">
        <f t="shared" si="9"/>
        <v>0.19999307698898958</v>
      </c>
      <c r="V47" s="25" t="s">
        <v>310</v>
      </c>
      <c r="W47" s="20">
        <v>0.249</v>
      </c>
      <c r="X47" s="20">
        <f t="shared" si="10"/>
        <v>0.751</v>
      </c>
      <c r="Y47" s="1" t="s">
        <v>311</v>
      </c>
      <c r="Z47" s="1" t="s">
        <v>312</v>
      </c>
      <c r="AA47" s="1" t="s">
        <v>326</v>
      </c>
      <c r="AB47" s="65" t="s">
        <v>313</v>
      </c>
      <c r="AC47" s="267">
        <v>0.76309226932668295</v>
      </c>
      <c r="AD47" s="267">
        <v>0.24631792788217399</v>
      </c>
      <c r="AE47" s="267">
        <v>9.8693105002253298E-2</v>
      </c>
      <c r="AF47" s="268">
        <v>0.148876404494382</v>
      </c>
    </row>
    <row r="48" spans="1:32" ht="14.25">
      <c r="A48" s="9">
        <v>47</v>
      </c>
      <c r="B48" s="1" t="s">
        <v>543</v>
      </c>
      <c r="C48" s="1" t="s">
        <v>544</v>
      </c>
      <c r="D48" s="1">
        <v>0</v>
      </c>
      <c r="E48" s="256" t="s">
        <v>545</v>
      </c>
      <c r="F48" s="10">
        <v>856013600000</v>
      </c>
      <c r="G48" s="379" t="s">
        <v>307</v>
      </c>
      <c r="H48" s="11">
        <v>7958180</v>
      </c>
      <c r="I48" s="262" t="s">
        <v>546</v>
      </c>
      <c r="J48" s="11">
        <v>4755477</v>
      </c>
      <c r="K48" s="60" t="s">
        <v>547</v>
      </c>
      <c r="L48" s="11">
        <v>404802</v>
      </c>
      <c r="M48" s="120">
        <f t="shared" si="11"/>
        <v>5.0866152813834317E-2</v>
      </c>
      <c r="N48" s="11">
        <v>371881</v>
      </c>
      <c r="O48" s="121">
        <f t="shared" si="6"/>
        <v>9.7595555767776052E-2</v>
      </c>
      <c r="P48" s="11">
        <v>210494</v>
      </c>
      <c r="Q48" s="121">
        <f t="shared" si="7"/>
        <v>0.12404557323408116</v>
      </c>
      <c r="R48" s="11">
        <v>208117</v>
      </c>
      <c r="S48" s="121">
        <f t="shared" si="8"/>
        <v>0.15019690431731877</v>
      </c>
      <c r="T48" s="11">
        <v>309311</v>
      </c>
      <c r="U48" s="121">
        <f t="shared" si="9"/>
        <v>0.18906395683435157</v>
      </c>
      <c r="V48" s="25" t="s">
        <v>310</v>
      </c>
      <c r="W48" s="20">
        <v>0.16600000000000001</v>
      </c>
      <c r="X48" s="20">
        <f t="shared" si="10"/>
        <v>0.83399999999999996</v>
      </c>
      <c r="Y48" s="1" t="s">
        <v>319</v>
      </c>
      <c r="Z48" s="1" t="s">
        <v>326</v>
      </c>
      <c r="AA48" s="1" t="s">
        <v>326</v>
      </c>
      <c r="AB48" s="65" t="s">
        <v>313</v>
      </c>
      <c r="AC48" s="267">
        <v>0.70533333333333303</v>
      </c>
      <c r="AD48" s="267">
        <v>0.2</v>
      </c>
      <c r="AE48" s="267">
        <v>5.9856736335982701E-2</v>
      </c>
      <c r="AF48" s="268">
        <v>0.181034482758621</v>
      </c>
    </row>
    <row r="49" spans="1:32" ht="14.25">
      <c r="A49" s="9">
        <v>48</v>
      </c>
      <c r="B49" s="1" t="s">
        <v>548</v>
      </c>
      <c r="C49" s="1" t="s">
        <v>549</v>
      </c>
      <c r="D49" s="1">
        <v>1</v>
      </c>
      <c r="E49" s="256" t="s">
        <v>550</v>
      </c>
      <c r="F49" s="10">
        <v>106475100000</v>
      </c>
      <c r="G49" s="379" t="s">
        <v>307</v>
      </c>
      <c r="H49" s="11">
        <v>1769979</v>
      </c>
      <c r="I49" s="262" t="s">
        <v>551</v>
      </c>
      <c r="J49" s="11">
        <v>885183</v>
      </c>
      <c r="K49" s="60" t="s">
        <v>552</v>
      </c>
      <c r="L49" s="11">
        <v>130555</v>
      </c>
      <c r="M49" s="120">
        <f t="shared" si="11"/>
        <v>7.3760762133336044E-2</v>
      </c>
      <c r="N49" s="11">
        <v>156182</v>
      </c>
      <c r="O49" s="121">
        <f t="shared" si="6"/>
        <v>0.16200022712133874</v>
      </c>
      <c r="P49" s="11">
        <v>76846</v>
      </c>
      <c r="Q49" s="121">
        <f t="shared" si="7"/>
        <v>0.20541656143942952</v>
      </c>
      <c r="R49" s="11">
        <v>80617</v>
      </c>
      <c r="S49" s="121">
        <f t="shared" si="8"/>
        <v>0.25096342950961564</v>
      </c>
      <c r="T49" s="11">
        <v>113852</v>
      </c>
      <c r="U49" s="121">
        <f t="shared" si="9"/>
        <v>0.31528735651665923</v>
      </c>
      <c r="V49" s="25" t="s">
        <v>310</v>
      </c>
      <c r="W49" s="20">
        <v>0.55200000000000005</v>
      </c>
      <c r="X49" s="20">
        <f t="shared" si="10"/>
        <v>0.44799999999999995</v>
      </c>
      <c r="Y49" s="1" t="s">
        <v>311</v>
      </c>
      <c r="Z49" s="1" t="s">
        <v>312</v>
      </c>
      <c r="AA49" s="1" t="s">
        <v>312</v>
      </c>
      <c r="AB49" s="65" t="s">
        <v>313</v>
      </c>
      <c r="AC49" s="267">
        <v>0.74844074844074804</v>
      </c>
      <c r="AD49" s="267">
        <v>0.32923707117255502</v>
      </c>
      <c r="AE49" s="267">
        <v>7.6288659793814398E-2</v>
      </c>
      <c r="AF49" s="268">
        <v>0.185929648241206</v>
      </c>
    </row>
    <row r="50" spans="1:32" ht="14.25">
      <c r="A50" s="9">
        <v>49</v>
      </c>
      <c r="B50" s="1" t="s">
        <v>553</v>
      </c>
      <c r="C50" s="1" t="s">
        <v>554</v>
      </c>
      <c r="D50" s="1">
        <v>0</v>
      </c>
      <c r="E50" s="256" t="s">
        <v>555</v>
      </c>
      <c r="F50" s="10">
        <v>453298600000</v>
      </c>
      <c r="G50" s="379" t="s">
        <v>307</v>
      </c>
      <c r="H50" s="11">
        <v>5960975</v>
      </c>
      <c r="I50" s="262" t="s">
        <v>556</v>
      </c>
      <c r="J50" s="11">
        <v>3767253</v>
      </c>
      <c r="K50" s="60" t="s">
        <v>557</v>
      </c>
      <c r="L50" s="11">
        <v>297495</v>
      </c>
      <c r="M50" s="120">
        <f t="shared" si="11"/>
        <v>4.9907104123067113E-2</v>
      </c>
      <c r="N50" s="11">
        <v>303751</v>
      </c>
      <c r="O50" s="121">
        <f t="shared" si="6"/>
        <v>0.10086370098851279</v>
      </c>
      <c r="P50" s="11">
        <v>176887</v>
      </c>
      <c r="Q50" s="121">
        <f t="shared" si="7"/>
        <v>0.13053787341835857</v>
      </c>
      <c r="R50" s="11">
        <v>204356</v>
      </c>
      <c r="S50" s="121">
        <f t="shared" si="8"/>
        <v>0.16482018461744932</v>
      </c>
      <c r="T50" s="11">
        <v>299126</v>
      </c>
      <c r="U50" s="121">
        <f t="shared" si="9"/>
        <v>0.21500090169812824</v>
      </c>
      <c r="V50" s="25" t="s">
        <v>310</v>
      </c>
      <c r="W50" s="20">
        <v>0.33600000000000002</v>
      </c>
      <c r="X50" s="20">
        <f t="shared" si="10"/>
        <v>0.66399999999999992</v>
      </c>
      <c r="Y50" s="1" t="s">
        <v>377</v>
      </c>
      <c r="Z50" s="1" t="s">
        <v>326</v>
      </c>
      <c r="AA50" s="1" t="s">
        <v>312</v>
      </c>
      <c r="AB50" s="65" t="s">
        <v>313</v>
      </c>
      <c r="AC50" s="267">
        <v>0.74816625916870405</v>
      </c>
      <c r="AD50" s="267">
        <v>0.30126953125</v>
      </c>
      <c r="AE50" s="267">
        <v>0.106866537717602</v>
      </c>
      <c r="AF50" s="268">
        <v>0.24234693877551</v>
      </c>
    </row>
    <row r="51" spans="1:32" ht="14.25">
      <c r="A51" s="13">
        <v>50</v>
      </c>
      <c r="B51" s="14" t="s">
        <v>558</v>
      </c>
      <c r="C51" s="14" t="s">
        <v>559</v>
      </c>
      <c r="D51" s="14">
        <v>0</v>
      </c>
      <c r="E51" s="263" t="s">
        <v>560</v>
      </c>
      <c r="F51" s="15">
        <v>51498100000</v>
      </c>
      <c r="G51" s="380" t="s">
        <v>307</v>
      </c>
      <c r="H51" s="16">
        <v>587618</v>
      </c>
      <c r="I51" s="264" t="s">
        <v>561</v>
      </c>
      <c r="J51" s="16">
        <v>430968</v>
      </c>
      <c r="K51" s="122" t="s">
        <v>562</v>
      </c>
      <c r="L51" s="16">
        <v>29241</v>
      </c>
      <c r="M51" s="64">
        <f t="shared" si="11"/>
        <v>4.9761920159014872E-2</v>
      </c>
      <c r="N51" s="16">
        <v>28830</v>
      </c>
      <c r="O51" s="63">
        <f t="shared" si="6"/>
        <v>9.8824406332004802E-2</v>
      </c>
      <c r="P51" s="16">
        <v>22345</v>
      </c>
      <c r="Q51" s="63">
        <f t="shared" si="7"/>
        <v>0.13685081124131665</v>
      </c>
      <c r="R51" s="16">
        <v>20289</v>
      </c>
      <c r="S51" s="63">
        <f t="shared" si="8"/>
        <v>0.17137834443464972</v>
      </c>
      <c r="T51" s="16">
        <v>35562</v>
      </c>
      <c r="U51" s="63">
        <f t="shared" si="9"/>
        <v>0.23189725297727434</v>
      </c>
      <c r="V51" s="381" t="s">
        <v>310</v>
      </c>
      <c r="W51" s="21">
        <v>0.374</v>
      </c>
      <c r="X51" s="21">
        <f t="shared" si="10"/>
        <v>0.626</v>
      </c>
      <c r="Y51" s="14" t="s">
        <v>319</v>
      </c>
      <c r="Z51" s="14" t="s">
        <v>312</v>
      </c>
      <c r="AA51" s="14" t="s">
        <v>312</v>
      </c>
      <c r="AB51" s="111" t="s">
        <v>313</v>
      </c>
      <c r="AC51" s="269">
        <v>0.74712643678160895</v>
      </c>
      <c r="AD51" s="269">
        <v>0.272010512483574</v>
      </c>
      <c r="AE51" s="269">
        <v>9.2911218169304893E-2</v>
      </c>
      <c r="AF51" s="270">
        <v>0.23788546255506601</v>
      </c>
    </row>
    <row r="52" spans="1:32" s="4" customFormat="1" ht="14.25">
      <c r="C52" s="221"/>
      <c r="H52" s="218"/>
      <c r="I52" s="265" t="s">
        <v>563</v>
      </c>
      <c r="J52" s="218"/>
      <c r="AB52" s="266"/>
    </row>
    <row r="53" spans="1:32" s="4" customFormat="1">
      <c r="C53" s="217"/>
      <c r="S53" s="222"/>
      <c r="AC53" s="223"/>
      <c r="AD53" s="223"/>
      <c r="AE53" s="223"/>
      <c r="AF53" s="223"/>
    </row>
    <row r="54" spans="1:32" s="4" customFormat="1"/>
    <row r="55" spans="1:32" s="4" customFormat="1"/>
    <row r="56" spans="1:32" s="4" customFormat="1"/>
    <row r="57" spans="1:32" s="4" customFormat="1"/>
    <row r="58" spans="1:32" s="4" customFormat="1"/>
    <row r="59" spans="1:32" s="4" customFormat="1"/>
    <row r="60" spans="1:32" s="4" customFormat="1"/>
    <row r="61" spans="1:32" s="4" customFormat="1"/>
    <row r="62" spans="1:32" s="4" customFormat="1"/>
    <row r="63" spans="1:32" s="4" customFormat="1"/>
    <row r="64" spans="1:32"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sheetData>
  <phoneticPr fontId="6" type="noConversion"/>
  <hyperlinks>
    <hyperlink ref="G2" r:id="rId1" xr:uid="{C7C56DDD-0D6B-4785-A33B-C897275C9B7A}"/>
    <hyperlink ref="V2" r:id="rId2" xr:uid="{C25FD10C-6BB8-43FA-98D7-47AC3654D72B}"/>
    <hyperlink ref="G3:G51" r:id="rId3" display="https://www.census.gov/data/tables/time-series/demo/popest/2020s-state-total.html" xr:uid="{976DE8F6-F757-40B1-A889-5270441B3B30}"/>
    <hyperlink ref="V3:V51" r:id="rId4" display="https://worldpopulationreview.com/state-rankings/most-rural-states" xr:uid="{4E58DB69-1D84-4FEC-9E7C-592A31506305}"/>
    <hyperlink ref="K2" r:id="rId5" display="https://data.census.gov/table/ACSDT1Y2024.C17002?q=C17002+Federal+Poverty+Level+2024+ACS+1-Year&amp;g=010XX00US_040XX00US01,02,04,05,06,08,09,10,12,13,15,16,17,18,19,20,21,22,23,24,25,26,27,28,29,30,31,32,33,34,35,36,37,38,39,40,41,42,44,45,46,47,48,49,50,51,53,54,55,56" xr:uid="{35C83885-2A9D-4FAD-9391-D66DA74B3192}"/>
    <hyperlink ref="K3:K51" r:id="rId6" display="https://data.census.gov/table/ACSDT1Y2024.C17002?q=C17002+Federal+Poverty+Level+2024+ACS+1-Year&amp;g=010XX00US_040XX00US01,02,04,05,06,08,09,10,12,13,15,16,17,18,19,20,21,22,23,24,25,26,27,28,29,30,31,32,33,34,35,36,37,38,39,40,41,42,44,45,46,47,48,49,50,51,53,54,55,56" xr:uid="{17D83C4C-8948-4248-B107-EA83B822EB63}"/>
    <hyperlink ref="E2" r:id="rId7" location="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19" display="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19" xr:uid="{B0C5A598-B758-4CF5-B84F-D1B7370ADC7A}"/>
    <hyperlink ref="E3:E51" r:id="rId8" location="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19" display="https://apps.bea.gov/itable/?ReqID=70&amp;step=1&amp;_gl=1*17rf2g9*_ga*NzA0NTc1MjE5LjE3NjI1NDQ1MjY.*_ga_J4698JNNFT*czE3NjM1ODUzMzkkbzMkZzEkdDE3NjM1ODcwOTIkajE0JGwwJGgw#eyJhcHBpZCI6NzAsInN0ZXBzIjpbMSwyOSwyNSwzMSwyNiwyNywzMCwzMF0sImRhdGEiOltbIlRhYmxlSWQiLCI1MDUiXSxbIk1ham9yX0FyZWEiLCIwIl0sWyJTdGF0ZSIsWyIwIl1dLFsiQXJlYSIsWyJYWCJdXSxbIlN0YXRpc3RpYyIsIjEiXSxbIlVuaXRfb2ZfbWVhc3VyZSIsIkxldmVscyJdLFsiWWVhciIsWyIyMDI0Il1dLFsiWWVhckJlZ2luIiwiLTEiXSxbIlllYXJfRW5kIiwiLTEiXV19" xr:uid="{C9979730-D99F-4C02-BC04-B4B506DDA175}"/>
    <hyperlink ref="I2" r:id="rId9" location="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19" display="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19" xr:uid="{6D8FA629-DCE1-4094-8452-AA1945FD6A12}"/>
    <hyperlink ref="I3:I52" r:id="rId10" location="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19" display="https://apps.bea.gov/itable/?ReqID=70&amp;step=1&amp;_gl=1*w8ismq*_ga*NzA0NTc1MjE5LjE3NjI1NDQ1MjY.*_ga_J4698JNNFT*czE3NjM3NTgyNjAkbzUkZzEkdDE3NjM3NjAzMTYkajYwJGwwJGgw#eyJhcHBpZCI6NzAsInN0ZXBzIjpbMSwyOSwyNSwzMSwyNiwyNywzMF0sImRhdGEiOltbIlRhYmxlSWQiLCI2MDAiXSxbIk1ham9yX0FyZWEiLCIwIl0sWyJTdGF0ZSIsWyIwIl1dLFsiQXJlYSIsWyJYWCJdXSxbIlN0YXRpc3RpYyIsWyIxNSJdXSxbIlVuaXRfb2ZfbWVhc3VyZSIsIkxldmVscyJdLFsiWWVhciIsWyIyMDIyIl1dLFsiWWVhckJlZ2luIiwiLTEiXSxbIlllYXJfRW5kIiwiLTEiXV19" xr:uid="{58D30B61-7AB4-4893-ADC7-13B5407DFB6F}"/>
    <hyperlink ref="AB2" r:id="rId11" xr:uid="{DB74F2DE-9FA5-468E-A2A8-9F60CA95DF83}"/>
    <hyperlink ref="G22" r:id="rId12" xr:uid="{66A02A71-3F59-4B63-94F2-DFE5BBA55014}"/>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79D8D-F79B-466C-95E8-BC2576B6C8F6}">
  <dimension ref="A1:Z154"/>
  <sheetViews>
    <sheetView workbookViewId="0">
      <pane xSplit="4" ySplit="2" topLeftCell="I31" activePane="bottomRight" state="frozen"/>
      <selection pane="bottomRight" activeCell="I31" sqref="I31"/>
      <selection pane="bottomLeft" activeCell="A3" sqref="A3"/>
      <selection pane="topRight" activeCell="E1" sqref="E1"/>
    </sheetView>
  </sheetViews>
  <sheetFormatPr defaultColWidth="10.85546875" defaultRowHeight="14.25" outlineLevelCol="1"/>
  <cols>
    <col min="1" max="1" width="7.42578125" style="1" customWidth="1"/>
    <col min="2" max="2" width="15.42578125" style="1" customWidth="1"/>
    <col min="3" max="3" width="13.42578125" style="1" customWidth="1"/>
    <col min="4" max="4" width="13.42578125" style="1" hidden="1" customWidth="1" outlineLevel="1"/>
    <col min="5" max="5" width="21.42578125" style="1" customWidth="1" collapsed="1"/>
    <col min="6" max="6" width="21.42578125" style="1" customWidth="1"/>
    <col min="7" max="7" width="13.42578125" style="1" hidden="1" customWidth="1" outlineLevel="1"/>
    <col min="8" max="8" width="21.42578125" style="1" customWidth="1" collapsed="1"/>
    <col min="9" max="9" width="21.42578125" style="1" customWidth="1"/>
    <col min="10" max="10" width="21.42578125" style="1" hidden="1" customWidth="1" outlineLevel="1"/>
    <col min="11" max="11" width="23.85546875" style="1" customWidth="1" collapsed="1"/>
    <col min="12" max="12" width="21.42578125" style="1" customWidth="1"/>
    <col min="13" max="13" width="13.42578125" style="1" hidden="1" customWidth="1" outlineLevel="1"/>
    <col min="14" max="14" width="25.85546875" style="1" customWidth="1" collapsed="1"/>
    <col min="15" max="15" width="21.42578125" style="1" customWidth="1"/>
    <col min="16" max="16" width="11" style="4" hidden="1" customWidth="1" outlineLevel="1"/>
    <col min="17" max="17" width="18.7109375" style="4" customWidth="1" collapsed="1"/>
    <col min="18" max="18" width="13.42578125" style="150" hidden="1" customWidth="1" outlineLevel="1"/>
    <col min="19" max="19" width="21.42578125" style="1" customWidth="1" collapsed="1"/>
    <col min="20" max="20" width="21.42578125" style="1" customWidth="1"/>
    <col min="21" max="21" width="21.42578125" style="1" hidden="1" customWidth="1" outlineLevel="1"/>
    <col min="22" max="22" width="21.42578125" style="1" customWidth="1" collapsed="1"/>
    <col min="23" max="23" width="21.42578125" style="1" hidden="1" customWidth="1" outlineLevel="1"/>
    <col min="24" max="24" width="21.42578125" style="1" customWidth="1" collapsed="1"/>
    <col min="25" max="25" width="13.42578125" style="1" customWidth="1" outlineLevel="1"/>
    <col min="26" max="26" width="29.42578125" style="1" customWidth="1"/>
    <col min="27" max="16384" width="10.85546875" style="26"/>
  </cols>
  <sheetData>
    <row r="1" spans="1:26">
      <c r="A1" s="402"/>
      <c r="B1" s="403"/>
      <c r="C1" s="403"/>
      <c r="D1" s="404" t="s">
        <v>41</v>
      </c>
      <c r="E1" s="405"/>
      <c r="F1" s="405"/>
      <c r="G1" s="405"/>
      <c r="H1" s="405"/>
      <c r="I1" s="405"/>
      <c r="J1" s="405"/>
      <c r="K1" s="405"/>
      <c r="L1" s="405"/>
      <c r="M1" s="405"/>
      <c r="N1" s="405"/>
      <c r="O1" s="406"/>
      <c r="P1" s="404" t="s">
        <v>564</v>
      </c>
      <c r="Q1" s="405"/>
      <c r="R1" s="407" t="s">
        <v>565</v>
      </c>
      <c r="S1" s="408"/>
      <c r="T1" s="408"/>
      <c r="U1" s="408"/>
      <c r="V1" s="408"/>
      <c r="W1" s="408"/>
      <c r="X1" s="409"/>
      <c r="Y1" s="405" t="s">
        <v>566</v>
      </c>
      <c r="Z1" s="406"/>
    </row>
    <row r="2" spans="1:26" ht="33.4" customHeight="1">
      <c r="A2" s="5" t="s">
        <v>278</v>
      </c>
      <c r="B2" s="6" t="s">
        <v>279</v>
      </c>
      <c r="C2" s="6" t="s">
        <v>280</v>
      </c>
      <c r="D2" s="5" t="s">
        <v>282</v>
      </c>
      <c r="E2" s="7" t="s">
        <v>183</v>
      </c>
      <c r="F2" s="7" t="s">
        <v>184</v>
      </c>
      <c r="G2" s="6" t="s">
        <v>282</v>
      </c>
      <c r="H2" s="7" t="s">
        <v>191</v>
      </c>
      <c r="I2" s="7" t="s">
        <v>192</v>
      </c>
      <c r="J2" s="260" t="s">
        <v>282</v>
      </c>
      <c r="K2" s="227" t="s">
        <v>198</v>
      </c>
      <c r="L2" s="227" t="s">
        <v>199</v>
      </c>
      <c r="M2" s="6" t="s">
        <v>282</v>
      </c>
      <c r="N2" s="7" t="s">
        <v>204</v>
      </c>
      <c r="O2" s="18" t="s">
        <v>205</v>
      </c>
      <c r="P2" s="158" t="s">
        <v>282</v>
      </c>
      <c r="Q2" s="7" t="s">
        <v>244</v>
      </c>
      <c r="R2" s="276" t="s">
        <v>282</v>
      </c>
      <c r="S2" s="149" t="s">
        <v>259</v>
      </c>
      <c r="T2" s="153" t="s">
        <v>262</v>
      </c>
      <c r="U2" s="149" t="s">
        <v>282</v>
      </c>
      <c r="V2" s="149" t="s">
        <v>264</v>
      </c>
      <c r="W2" s="149" t="s">
        <v>282</v>
      </c>
      <c r="X2" s="153" t="s">
        <v>265</v>
      </c>
      <c r="Y2" s="6" t="s">
        <v>282</v>
      </c>
      <c r="Z2" s="18" t="s">
        <v>269</v>
      </c>
    </row>
    <row r="3" spans="1:26">
      <c r="A3" s="9">
        <v>0</v>
      </c>
      <c r="B3" s="1" t="s">
        <v>567</v>
      </c>
      <c r="C3" s="1" t="s">
        <v>568</v>
      </c>
      <c r="D3" s="135" t="s">
        <v>569</v>
      </c>
      <c r="E3" s="1">
        <v>10</v>
      </c>
      <c r="F3" s="1">
        <v>32</v>
      </c>
      <c r="G3" s="105" t="s">
        <v>570</v>
      </c>
      <c r="H3" s="1">
        <v>1</v>
      </c>
      <c r="I3" s="1">
        <v>26</v>
      </c>
      <c r="J3" s="105" t="s">
        <v>571</v>
      </c>
      <c r="K3" s="1">
        <v>0.25</v>
      </c>
      <c r="L3" s="243">
        <v>52</v>
      </c>
      <c r="M3" s="105" t="s">
        <v>572</v>
      </c>
      <c r="N3" s="1">
        <v>0.5</v>
      </c>
      <c r="O3" s="12">
        <v>52</v>
      </c>
      <c r="P3" s="135" t="s">
        <v>573</v>
      </c>
      <c r="Q3" s="277">
        <f>MROUND(SUM('Food volume'!S2:X2),0.1)</f>
        <v>3.5</v>
      </c>
      <c r="R3" s="155" t="s">
        <v>574</v>
      </c>
      <c r="S3" s="128">
        <v>175000</v>
      </c>
      <c r="T3" s="156">
        <v>675000</v>
      </c>
      <c r="U3" s="271" t="s">
        <v>575</v>
      </c>
      <c r="V3" s="252">
        <v>231</v>
      </c>
      <c r="W3" s="272" t="s">
        <v>575</v>
      </c>
      <c r="X3" s="281">
        <v>826</v>
      </c>
      <c r="Y3" s="279" t="s">
        <v>576</v>
      </c>
      <c r="Z3" s="129">
        <v>14.66</v>
      </c>
    </row>
    <row r="4" spans="1:26">
      <c r="A4" s="9">
        <v>1</v>
      </c>
      <c r="B4" s="1" t="s">
        <v>304</v>
      </c>
      <c r="C4" s="1" t="s">
        <v>305</v>
      </c>
      <c r="D4" s="135"/>
      <c r="E4" s="1">
        <f>E$3</f>
        <v>10</v>
      </c>
      <c r="F4" s="1">
        <f>F$3</f>
        <v>32</v>
      </c>
      <c r="G4" s="105"/>
      <c r="H4" s="1">
        <f>H$3</f>
        <v>1</v>
      </c>
      <c r="I4" s="1">
        <f>I$3</f>
        <v>26</v>
      </c>
      <c r="K4" s="1">
        <f t="shared" ref="K4:K35" si="0">$K$3</f>
        <v>0.25</v>
      </c>
      <c r="L4" s="1">
        <f t="shared" ref="L4:L35" si="1">$L$3</f>
        <v>52</v>
      </c>
      <c r="N4" s="1">
        <f>N$3</f>
        <v>0.5</v>
      </c>
      <c r="O4" s="12">
        <f>O$3</f>
        <v>52</v>
      </c>
      <c r="P4" s="1"/>
      <c r="Q4" s="277">
        <f>Q$3</f>
        <v>3.5</v>
      </c>
      <c r="R4" s="155"/>
      <c r="S4" s="128">
        <f>S$3</f>
        <v>175000</v>
      </c>
      <c r="T4" s="156">
        <f>T$3</f>
        <v>675000</v>
      </c>
      <c r="U4" s="128"/>
      <c r="V4" s="273">
        <f t="shared" ref="V4:V35" si="2">$V$3</f>
        <v>231</v>
      </c>
      <c r="W4" s="273"/>
      <c r="X4" s="282">
        <f t="shared" ref="X4:X35" si="3">$X$3</f>
        <v>826</v>
      </c>
      <c r="Y4" s="279" t="s">
        <v>576</v>
      </c>
      <c r="Z4" s="129">
        <f>Z$3</f>
        <v>14.66</v>
      </c>
    </row>
    <row r="5" spans="1:26">
      <c r="A5" s="9">
        <v>2</v>
      </c>
      <c r="B5" s="1" t="s">
        <v>314</v>
      </c>
      <c r="C5" s="1" t="s">
        <v>315</v>
      </c>
      <c r="D5" s="135"/>
      <c r="E5" s="1">
        <f t="shared" ref="E5:F53" si="4">E$3</f>
        <v>10</v>
      </c>
      <c r="F5" s="1">
        <f t="shared" si="4"/>
        <v>32</v>
      </c>
      <c r="G5" s="105"/>
      <c r="H5" s="1">
        <f t="shared" ref="H5:I53" si="5">H$3</f>
        <v>1</v>
      </c>
      <c r="I5" s="1">
        <f t="shared" si="5"/>
        <v>26</v>
      </c>
      <c r="K5" s="1">
        <f t="shared" si="0"/>
        <v>0.25</v>
      </c>
      <c r="L5" s="1">
        <f t="shared" si="1"/>
        <v>52</v>
      </c>
      <c r="M5" s="105"/>
      <c r="N5" s="1">
        <f t="shared" ref="N5:O53" si="6">N$3</f>
        <v>0.5</v>
      </c>
      <c r="O5" s="12">
        <f t="shared" si="6"/>
        <v>52</v>
      </c>
      <c r="P5" s="135"/>
      <c r="Q5" s="277">
        <f t="shared" ref="Q5:Q53" si="7">Q$3</f>
        <v>3.5</v>
      </c>
      <c r="R5" s="155"/>
      <c r="S5" s="128">
        <f t="shared" ref="S5:T36" si="8">S$3</f>
        <v>175000</v>
      </c>
      <c r="T5" s="156">
        <f t="shared" si="8"/>
        <v>675000</v>
      </c>
      <c r="U5" s="128"/>
      <c r="V5" s="273">
        <f t="shared" si="2"/>
        <v>231</v>
      </c>
      <c r="W5" s="273"/>
      <c r="X5" s="282">
        <f t="shared" si="3"/>
        <v>826</v>
      </c>
      <c r="Y5" s="279" t="s">
        <v>576</v>
      </c>
      <c r="Z5" s="129">
        <f t="shared" ref="Z5:Z53" si="9">Z$3</f>
        <v>14.66</v>
      </c>
    </row>
    <row r="6" spans="1:26">
      <c r="A6" s="9">
        <v>3</v>
      </c>
      <c r="B6" s="1" t="s">
        <v>321</v>
      </c>
      <c r="C6" s="1" t="s">
        <v>322</v>
      </c>
      <c r="D6" s="135"/>
      <c r="E6" s="1">
        <f t="shared" si="4"/>
        <v>10</v>
      </c>
      <c r="F6" s="1">
        <f t="shared" si="4"/>
        <v>32</v>
      </c>
      <c r="G6" s="105"/>
      <c r="H6" s="1">
        <f t="shared" si="5"/>
        <v>1</v>
      </c>
      <c r="I6" s="1">
        <f t="shared" si="5"/>
        <v>26</v>
      </c>
      <c r="K6" s="1">
        <f t="shared" si="0"/>
        <v>0.25</v>
      </c>
      <c r="L6" s="1">
        <f t="shared" si="1"/>
        <v>52</v>
      </c>
      <c r="M6" s="105"/>
      <c r="N6" s="1">
        <f t="shared" si="6"/>
        <v>0.5</v>
      </c>
      <c r="O6" s="12">
        <f t="shared" si="6"/>
        <v>52</v>
      </c>
      <c r="P6" s="135"/>
      <c r="Q6" s="277">
        <f t="shared" si="7"/>
        <v>3.5</v>
      </c>
      <c r="R6" s="155"/>
      <c r="S6" s="128">
        <f t="shared" si="8"/>
        <v>175000</v>
      </c>
      <c r="T6" s="156">
        <f t="shared" si="8"/>
        <v>675000</v>
      </c>
      <c r="U6" s="128"/>
      <c r="V6" s="273">
        <f t="shared" si="2"/>
        <v>231</v>
      </c>
      <c r="W6" s="273"/>
      <c r="X6" s="282">
        <f t="shared" si="3"/>
        <v>826</v>
      </c>
      <c r="Y6" s="279" t="s">
        <v>576</v>
      </c>
      <c r="Z6" s="129">
        <f t="shared" si="9"/>
        <v>14.66</v>
      </c>
    </row>
    <row r="7" spans="1:26">
      <c r="A7" s="9">
        <v>4</v>
      </c>
      <c r="B7" s="1" t="s">
        <v>327</v>
      </c>
      <c r="C7" s="1" t="s">
        <v>328</v>
      </c>
      <c r="D7" s="135"/>
      <c r="E7" s="1">
        <f t="shared" si="4"/>
        <v>10</v>
      </c>
      <c r="F7" s="1">
        <f t="shared" si="4"/>
        <v>32</v>
      </c>
      <c r="G7" s="105"/>
      <c r="H7" s="1">
        <f t="shared" si="5"/>
        <v>1</v>
      </c>
      <c r="I7" s="1">
        <f t="shared" si="5"/>
        <v>26</v>
      </c>
      <c r="K7" s="1">
        <f t="shared" si="0"/>
        <v>0.25</v>
      </c>
      <c r="L7" s="1">
        <f t="shared" si="1"/>
        <v>52</v>
      </c>
      <c r="M7" s="105"/>
      <c r="N7" s="1">
        <f t="shared" si="6"/>
        <v>0.5</v>
      </c>
      <c r="O7" s="12">
        <f t="shared" si="6"/>
        <v>52</v>
      </c>
      <c r="P7" s="135"/>
      <c r="Q7" s="277">
        <f t="shared" si="7"/>
        <v>3.5</v>
      </c>
      <c r="R7" s="155"/>
      <c r="S7" s="128">
        <f t="shared" si="8"/>
        <v>175000</v>
      </c>
      <c r="T7" s="156">
        <f t="shared" si="8"/>
        <v>675000</v>
      </c>
      <c r="U7" s="128"/>
      <c r="V7" s="273">
        <f t="shared" si="2"/>
        <v>231</v>
      </c>
      <c r="W7" s="273"/>
      <c r="X7" s="282">
        <f t="shared" si="3"/>
        <v>826</v>
      </c>
      <c r="Y7" s="279" t="s">
        <v>576</v>
      </c>
      <c r="Z7" s="129">
        <f t="shared" si="9"/>
        <v>14.66</v>
      </c>
    </row>
    <row r="8" spans="1:26">
      <c r="A8" s="9">
        <v>5</v>
      </c>
      <c r="B8" s="1" t="s">
        <v>332</v>
      </c>
      <c r="C8" s="1" t="s">
        <v>333</v>
      </c>
      <c r="D8" s="135"/>
      <c r="E8" s="1">
        <f t="shared" si="4"/>
        <v>10</v>
      </c>
      <c r="F8" s="1">
        <f t="shared" si="4"/>
        <v>32</v>
      </c>
      <c r="G8" s="105"/>
      <c r="H8" s="1">
        <f t="shared" si="5"/>
        <v>1</v>
      </c>
      <c r="I8" s="1">
        <f t="shared" si="5"/>
        <v>26</v>
      </c>
      <c r="K8" s="1">
        <f t="shared" si="0"/>
        <v>0.25</v>
      </c>
      <c r="L8" s="1">
        <f t="shared" si="1"/>
        <v>52</v>
      </c>
      <c r="M8" s="105"/>
      <c r="N8" s="1">
        <f t="shared" si="6"/>
        <v>0.5</v>
      </c>
      <c r="O8" s="12">
        <f t="shared" si="6"/>
        <v>52</v>
      </c>
      <c r="P8" s="135"/>
      <c r="Q8" s="277">
        <f t="shared" si="7"/>
        <v>3.5</v>
      </c>
      <c r="R8" s="155"/>
      <c r="S8" s="128">
        <f t="shared" si="8"/>
        <v>175000</v>
      </c>
      <c r="T8" s="156">
        <f t="shared" si="8"/>
        <v>675000</v>
      </c>
      <c r="U8" s="128"/>
      <c r="V8" s="273">
        <f t="shared" si="2"/>
        <v>231</v>
      </c>
      <c r="W8" s="273"/>
      <c r="X8" s="282">
        <f t="shared" si="3"/>
        <v>826</v>
      </c>
      <c r="Y8" s="279" t="s">
        <v>576</v>
      </c>
      <c r="Z8" s="129">
        <f t="shared" si="9"/>
        <v>14.66</v>
      </c>
    </row>
    <row r="9" spans="1:26">
      <c r="A9" s="9">
        <v>6</v>
      </c>
      <c r="B9" s="1" t="s">
        <v>337</v>
      </c>
      <c r="C9" s="1" t="s">
        <v>338</v>
      </c>
      <c r="D9" s="135"/>
      <c r="E9" s="1">
        <f t="shared" si="4"/>
        <v>10</v>
      </c>
      <c r="F9" s="1">
        <f t="shared" si="4"/>
        <v>32</v>
      </c>
      <c r="G9" s="105"/>
      <c r="H9" s="1">
        <f t="shared" si="5"/>
        <v>1</v>
      </c>
      <c r="I9" s="1">
        <f t="shared" si="5"/>
        <v>26</v>
      </c>
      <c r="K9" s="1">
        <f t="shared" si="0"/>
        <v>0.25</v>
      </c>
      <c r="L9" s="1">
        <f t="shared" si="1"/>
        <v>52</v>
      </c>
      <c r="M9" s="105"/>
      <c r="N9" s="1">
        <f t="shared" si="6"/>
        <v>0.5</v>
      </c>
      <c r="O9" s="12">
        <f t="shared" si="6"/>
        <v>52</v>
      </c>
      <c r="P9" s="135"/>
      <c r="Q9" s="277">
        <f t="shared" si="7"/>
        <v>3.5</v>
      </c>
      <c r="R9" s="155"/>
      <c r="S9" s="128">
        <f t="shared" si="8"/>
        <v>175000</v>
      </c>
      <c r="T9" s="156">
        <f t="shared" si="8"/>
        <v>675000</v>
      </c>
      <c r="U9" s="128"/>
      <c r="V9" s="273">
        <f t="shared" si="2"/>
        <v>231</v>
      </c>
      <c r="W9" s="273"/>
      <c r="X9" s="282">
        <f t="shared" si="3"/>
        <v>826</v>
      </c>
      <c r="Y9" s="279" t="s">
        <v>576</v>
      </c>
      <c r="Z9" s="129">
        <f t="shared" si="9"/>
        <v>14.66</v>
      </c>
    </row>
    <row r="10" spans="1:26">
      <c r="A10" s="9">
        <v>7</v>
      </c>
      <c r="B10" s="1" t="s">
        <v>342</v>
      </c>
      <c r="C10" s="1" t="s">
        <v>343</v>
      </c>
      <c r="D10" s="135"/>
      <c r="E10" s="1">
        <f t="shared" si="4"/>
        <v>10</v>
      </c>
      <c r="F10" s="1">
        <f t="shared" si="4"/>
        <v>32</v>
      </c>
      <c r="G10" s="105"/>
      <c r="H10" s="1">
        <f t="shared" si="5"/>
        <v>1</v>
      </c>
      <c r="I10" s="1">
        <f t="shared" si="5"/>
        <v>26</v>
      </c>
      <c r="K10" s="1">
        <f t="shared" si="0"/>
        <v>0.25</v>
      </c>
      <c r="L10" s="1">
        <f t="shared" si="1"/>
        <v>52</v>
      </c>
      <c r="M10" s="105"/>
      <c r="N10" s="1">
        <f t="shared" si="6"/>
        <v>0.5</v>
      </c>
      <c r="O10" s="12">
        <f t="shared" si="6"/>
        <v>52</v>
      </c>
      <c r="P10" s="135"/>
      <c r="Q10" s="277">
        <f t="shared" si="7"/>
        <v>3.5</v>
      </c>
      <c r="R10" s="155"/>
      <c r="S10" s="128">
        <f t="shared" si="8"/>
        <v>175000</v>
      </c>
      <c r="T10" s="156">
        <f t="shared" si="8"/>
        <v>675000</v>
      </c>
      <c r="U10" s="128"/>
      <c r="V10" s="273">
        <f t="shared" si="2"/>
        <v>231</v>
      </c>
      <c r="W10" s="273"/>
      <c r="X10" s="282">
        <f t="shared" si="3"/>
        <v>826</v>
      </c>
      <c r="Y10" s="279" t="s">
        <v>576</v>
      </c>
      <c r="Z10" s="129">
        <f t="shared" si="9"/>
        <v>14.66</v>
      </c>
    </row>
    <row r="11" spans="1:26">
      <c r="A11" s="9">
        <v>8</v>
      </c>
      <c r="B11" s="1" t="s">
        <v>348</v>
      </c>
      <c r="C11" s="1" t="s">
        <v>349</v>
      </c>
      <c r="D11" s="135"/>
      <c r="E11" s="1">
        <f t="shared" si="4"/>
        <v>10</v>
      </c>
      <c r="F11" s="1">
        <f t="shared" si="4"/>
        <v>32</v>
      </c>
      <c r="G11" s="105"/>
      <c r="H11" s="1">
        <f t="shared" si="5"/>
        <v>1</v>
      </c>
      <c r="I11" s="1">
        <f t="shared" si="5"/>
        <v>26</v>
      </c>
      <c r="K11" s="1">
        <f t="shared" si="0"/>
        <v>0.25</v>
      </c>
      <c r="L11" s="1">
        <f t="shared" si="1"/>
        <v>52</v>
      </c>
      <c r="M11" s="105"/>
      <c r="N11" s="1">
        <f t="shared" si="6"/>
        <v>0.5</v>
      </c>
      <c r="O11" s="12">
        <f t="shared" si="6"/>
        <v>52</v>
      </c>
      <c r="P11" s="135"/>
      <c r="Q11" s="277">
        <f t="shared" si="7"/>
        <v>3.5</v>
      </c>
      <c r="R11" s="155"/>
      <c r="S11" s="128">
        <f t="shared" si="8"/>
        <v>175000</v>
      </c>
      <c r="T11" s="156">
        <f t="shared" si="8"/>
        <v>675000</v>
      </c>
      <c r="U11" s="128"/>
      <c r="V11" s="273">
        <f t="shared" si="2"/>
        <v>231</v>
      </c>
      <c r="W11" s="273"/>
      <c r="X11" s="282">
        <f t="shared" si="3"/>
        <v>826</v>
      </c>
      <c r="Y11" s="279" t="s">
        <v>576</v>
      </c>
      <c r="Z11" s="129">
        <f t="shared" si="9"/>
        <v>14.66</v>
      </c>
    </row>
    <row r="12" spans="1:26">
      <c r="A12" s="9">
        <v>9</v>
      </c>
      <c r="B12" s="1" t="s">
        <v>353</v>
      </c>
      <c r="C12" s="1" t="s">
        <v>354</v>
      </c>
      <c r="D12" s="135"/>
      <c r="E12" s="1">
        <f t="shared" si="4"/>
        <v>10</v>
      </c>
      <c r="F12" s="1">
        <f t="shared" si="4"/>
        <v>32</v>
      </c>
      <c r="G12" s="105"/>
      <c r="H12" s="1">
        <f t="shared" si="5"/>
        <v>1</v>
      </c>
      <c r="I12" s="1">
        <f t="shared" si="5"/>
        <v>26</v>
      </c>
      <c r="K12" s="1">
        <f t="shared" si="0"/>
        <v>0.25</v>
      </c>
      <c r="L12" s="1">
        <f t="shared" si="1"/>
        <v>52</v>
      </c>
      <c r="M12" s="105"/>
      <c r="N12" s="1">
        <f t="shared" si="6"/>
        <v>0.5</v>
      </c>
      <c r="O12" s="12">
        <f t="shared" si="6"/>
        <v>52</v>
      </c>
      <c r="P12" s="135"/>
      <c r="Q12" s="277">
        <f t="shared" si="7"/>
        <v>3.5</v>
      </c>
      <c r="R12" s="155"/>
      <c r="S12" s="128">
        <f t="shared" si="8"/>
        <v>175000</v>
      </c>
      <c r="T12" s="156">
        <f t="shared" si="8"/>
        <v>675000</v>
      </c>
      <c r="U12" s="128"/>
      <c r="V12" s="273">
        <f t="shared" si="2"/>
        <v>231</v>
      </c>
      <c r="W12" s="273"/>
      <c r="X12" s="282">
        <f t="shared" si="3"/>
        <v>826</v>
      </c>
      <c r="Y12" s="279" t="s">
        <v>576</v>
      </c>
      <c r="Z12" s="129">
        <f t="shared" si="9"/>
        <v>14.66</v>
      </c>
    </row>
    <row r="13" spans="1:26">
      <c r="A13" s="9">
        <v>10</v>
      </c>
      <c r="B13" s="1" t="s">
        <v>358</v>
      </c>
      <c r="C13" s="1" t="s">
        <v>359</v>
      </c>
      <c r="D13" s="135"/>
      <c r="E13" s="1">
        <f t="shared" si="4"/>
        <v>10</v>
      </c>
      <c r="F13" s="1">
        <f t="shared" si="4"/>
        <v>32</v>
      </c>
      <c r="G13" s="105"/>
      <c r="H13" s="1">
        <f t="shared" si="5"/>
        <v>1</v>
      </c>
      <c r="I13" s="1">
        <f t="shared" si="5"/>
        <v>26</v>
      </c>
      <c r="K13" s="1">
        <f t="shared" si="0"/>
        <v>0.25</v>
      </c>
      <c r="L13" s="1">
        <f t="shared" si="1"/>
        <v>52</v>
      </c>
      <c r="M13" s="105"/>
      <c r="N13" s="1">
        <f t="shared" si="6"/>
        <v>0.5</v>
      </c>
      <c r="O13" s="12">
        <f t="shared" si="6"/>
        <v>52</v>
      </c>
      <c r="P13" s="135"/>
      <c r="Q13" s="277">
        <f t="shared" si="7"/>
        <v>3.5</v>
      </c>
      <c r="R13" s="155"/>
      <c r="S13" s="128">
        <f t="shared" si="8"/>
        <v>175000</v>
      </c>
      <c r="T13" s="156">
        <f t="shared" si="8"/>
        <v>675000</v>
      </c>
      <c r="U13" s="128"/>
      <c r="V13" s="273">
        <f t="shared" si="2"/>
        <v>231</v>
      </c>
      <c r="W13" s="273"/>
      <c r="X13" s="282">
        <f t="shared" si="3"/>
        <v>826</v>
      </c>
      <c r="Y13" s="279" t="s">
        <v>576</v>
      </c>
      <c r="Z13" s="129">
        <f t="shared" si="9"/>
        <v>14.66</v>
      </c>
    </row>
    <row r="14" spans="1:26">
      <c r="A14" s="9">
        <v>11</v>
      </c>
      <c r="B14" s="1" t="s">
        <v>363</v>
      </c>
      <c r="C14" s="1" t="s">
        <v>364</v>
      </c>
      <c r="D14" s="135"/>
      <c r="E14" s="1">
        <f t="shared" si="4"/>
        <v>10</v>
      </c>
      <c r="F14" s="1">
        <f t="shared" si="4"/>
        <v>32</v>
      </c>
      <c r="G14" s="105"/>
      <c r="H14" s="1">
        <f t="shared" si="5"/>
        <v>1</v>
      </c>
      <c r="I14" s="1">
        <f t="shared" si="5"/>
        <v>26</v>
      </c>
      <c r="K14" s="1">
        <f t="shared" si="0"/>
        <v>0.25</v>
      </c>
      <c r="L14" s="1">
        <f t="shared" si="1"/>
        <v>52</v>
      </c>
      <c r="M14" s="105"/>
      <c r="N14" s="1">
        <f t="shared" si="6"/>
        <v>0.5</v>
      </c>
      <c r="O14" s="12">
        <f t="shared" si="6"/>
        <v>52</v>
      </c>
      <c r="P14" s="135"/>
      <c r="Q14" s="277">
        <f t="shared" si="7"/>
        <v>3.5</v>
      </c>
      <c r="R14" s="155"/>
      <c r="S14" s="128">
        <f t="shared" si="8"/>
        <v>175000</v>
      </c>
      <c r="T14" s="156">
        <f t="shared" si="8"/>
        <v>675000</v>
      </c>
      <c r="U14" s="128"/>
      <c r="V14" s="273">
        <f t="shared" si="2"/>
        <v>231</v>
      </c>
      <c r="W14" s="273"/>
      <c r="X14" s="282">
        <f t="shared" si="3"/>
        <v>826</v>
      </c>
      <c r="Y14" s="279" t="s">
        <v>576</v>
      </c>
      <c r="Z14" s="129">
        <f t="shared" si="9"/>
        <v>14.66</v>
      </c>
    </row>
    <row r="15" spans="1:26">
      <c r="A15" s="9">
        <v>12</v>
      </c>
      <c r="B15" s="1" t="s">
        <v>368</v>
      </c>
      <c r="C15" s="1" t="s">
        <v>278</v>
      </c>
      <c r="D15" s="135"/>
      <c r="E15" s="1">
        <f t="shared" si="4"/>
        <v>10</v>
      </c>
      <c r="F15" s="1">
        <f t="shared" si="4"/>
        <v>32</v>
      </c>
      <c r="G15" s="105"/>
      <c r="H15" s="1">
        <f t="shared" si="5"/>
        <v>1</v>
      </c>
      <c r="I15" s="1">
        <f t="shared" si="5"/>
        <v>26</v>
      </c>
      <c r="K15" s="1">
        <f t="shared" si="0"/>
        <v>0.25</v>
      </c>
      <c r="L15" s="1">
        <f t="shared" si="1"/>
        <v>52</v>
      </c>
      <c r="M15" s="105"/>
      <c r="N15" s="1">
        <f t="shared" si="6"/>
        <v>0.5</v>
      </c>
      <c r="O15" s="12">
        <f t="shared" si="6"/>
        <v>52</v>
      </c>
      <c r="P15" s="135"/>
      <c r="Q15" s="277">
        <f t="shared" si="7"/>
        <v>3.5</v>
      </c>
      <c r="R15" s="155"/>
      <c r="S15" s="128">
        <f t="shared" si="8"/>
        <v>175000</v>
      </c>
      <c r="T15" s="156">
        <f t="shared" si="8"/>
        <v>675000</v>
      </c>
      <c r="U15" s="128"/>
      <c r="V15" s="273">
        <f t="shared" si="2"/>
        <v>231</v>
      </c>
      <c r="W15" s="273"/>
      <c r="X15" s="282">
        <f t="shared" si="3"/>
        <v>826</v>
      </c>
      <c r="Y15" s="279" t="s">
        <v>576</v>
      </c>
      <c r="Z15" s="129">
        <f t="shared" si="9"/>
        <v>14.66</v>
      </c>
    </row>
    <row r="16" spans="1:26">
      <c r="A16" s="9">
        <v>13</v>
      </c>
      <c r="B16" s="1" t="s">
        <v>372</v>
      </c>
      <c r="C16" s="1" t="s">
        <v>373</v>
      </c>
      <c r="D16" s="135"/>
      <c r="E16" s="1">
        <f t="shared" si="4"/>
        <v>10</v>
      </c>
      <c r="F16" s="1">
        <f t="shared" si="4"/>
        <v>32</v>
      </c>
      <c r="G16" s="105"/>
      <c r="H16" s="1">
        <f t="shared" si="5"/>
        <v>1</v>
      </c>
      <c r="I16" s="1">
        <f t="shared" si="5"/>
        <v>26</v>
      </c>
      <c r="K16" s="1">
        <f t="shared" si="0"/>
        <v>0.25</v>
      </c>
      <c r="L16" s="1">
        <f t="shared" si="1"/>
        <v>52</v>
      </c>
      <c r="M16" s="105"/>
      <c r="N16" s="1">
        <f t="shared" si="6"/>
        <v>0.5</v>
      </c>
      <c r="O16" s="12">
        <f t="shared" si="6"/>
        <v>52</v>
      </c>
      <c r="P16" s="135"/>
      <c r="Q16" s="277">
        <f t="shared" si="7"/>
        <v>3.5</v>
      </c>
      <c r="R16" s="155"/>
      <c r="S16" s="128">
        <f t="shared" si="8"/>
        <v>175000</v>
      </c>
      <c r="T16" s="156">
        <f t="shared" si="8"/>
        <v>675000</v>
      </c>
      <c r="U16" s="128"/>
      <c r="V16" s="273">
        <f t="shared" si="2"/>
        <v>231</v>
      </c>
      <c r="W16" s="273"/>
      <c r="X16" s="282">
        <f t="shared" si="3"/>
        <v>826</v>
      </c>
      <c r="Y16" s="279" t="s">
        <v>576</v>
      </c>
      <c r="Z16" s="129">
        <f t="shared" si="9"/>
        <v>14.66</v>
      </c>
    </row>
    <row r="17" spans="1:26">
      <c r="A17" s="9">
        <v>14</v>
      </c>
      <c r="B17" s="1" t="s">
        <v>378</v>
      </c>
      <c r="C17" s="1" t="s">
        <v>379</v>
      </c>
      <c r="D17" s="135"/>
      <c r="E17" s="1">
        <f t="shared" si="4"/>
        <v>10</v>
      </c>
      <c r="F17" s="1">
        <f t="shared" si="4"/>
        <v>32</v>
      </c>
      <c r="G17" s="105"/>
      <c r="H17" s="1">
        <f t="shared" si="5"/>
        <v>1</v>
      </c>
      <c r="I17" s="1">
        <f t="shared" si="5"/>
        <v>26</v>
      </c>
      <c r="K17" s="1">
        <f t="shared" si="0"/>
        <v>0.25</v>
      </c>
      <c r="L17" s="1">
        <f t="shared" si="1"/>
        <v>52</v>
      </c>
      <c r="M17" s="105"/>
      <c r="N17" s="1">
        <f t="shared" si="6"/>
        <v>0.5</v>
      </c>
      <c r="O17" s="12">
        <f t="shared" si="6"/>
        <v>52</v>
      </c>
      <c r="P17" s="135"/>
      <c r="Q17" s="277">
        <f t="shared" si="7"/>
        <v>3.5</v>
      </c>
      <c r="R17" s="155"/>
      <c r="S17" s="128">
        <f t="shared" si="8"/>
        <v>175000</v>
      </c>
      <c r="T17" s="156">
        <f t="shared" si="8"/>
        <v>675000</v>
      </c>
      <c r="U17" s="128"/>
      <c r="V17" s="273">
        <f t="shared" si="2"/>
        <v>231</v>
      </c>
      <c r="W17" s="273"/>
      <c r="X17" s="282">
        <f t="shared" si="3"/>
        <v>826</v>
      </c>
      <c r="Y17" s="279" t="s">
        <v>576</v>
      </c>
      <c r="Z17" s="129">
        <f t="shared" si="9"/>
        <v>14.66</v>
      </c>
    </row>
    <row r="18" spans="1:26">
      <c r="A18" s="9">
        <v>15</v>
      </c>
      <c r="B18" s="1" t="s">
        <v>383</v>
      </c>
      <c r="C18" s="1" t="s">
        <v>384</v>
      </c>
      <c r="D18" s="135"/>
      <c r="E18" s="1">
        <f t="shared" si="4"/>
        <v>10</v>
      </c>
      <c r="F18" s="1">
        <f t="shared" si="4"/>
        <v>32</v>
      </c>
      <c r="G18" s="105"/>
      <c r="H18" s="1">
        <f t="shared" si="5"/>
        <v>1</v>
      </c>
      <c r="I18" s="1">
        <f t="shared" si="5"/>
        <v>26</v>
      </c>
      <c r="K18" s="1">
        <f t="shared" si="0"/>
        <v>0.25</v>
      </c>
      <c r="L18" s="1">
        <f t="shared" si="1"/>
        <v>52</v>
      </c>
      <c r="M18" s="105"/>
      <c r="N18" s="1">
        <f t="shared" si="6"/>
        <v>0.5</v>
      </c>
      <c r="O18" s="12">
        <f t="shared" si="6"/>
        <v>52</v>
      </c>
      <c r="P18" s="135"/>
      <c r="Q18" s="277">
        <f t="shared" si="7"/>
        <v>3.5</v>
      </c>
      <c r="R18" s="155"/>
      <c r="S18" s="128">
        <f t="shared" si="8"/>
        <v>175000</v>
      </c>
      <c r="T18" s="156">
        <f t="shared" si="8"/>
        <v>675000</v>
      </c>
      <c r="U18" s="128"/>
      <c r="V18" s="273">
        <f t="shared" si="2"/>
        <v>231</v>
      </c>
      <c r="W18" s="273"/>
      <c r="X18" s="282">
        <f t="shared" si="3"/>
        <v>826</v>
      </c>
      <c r="Y18" s="279" t="s">
        <v>576</v>
      </c>
      <c r="Z18" s="129">
        <f t="shared" si="9"/>
        <v>14.66</v>
      </c>
    </row>
    <row r="19" spans="1:26">
      <c r="A19" s="9">
        <v>16</v>
      </c>
      <c r="B19" s="1" t="s">
        <v>388</v>
      </c>
      <c r="C19" s="1" t="s">
        <v>389</v>
      </c>
      <c r="D19" s="135"/>
      <c r="E19" s="1">
        <f t="shared" si="4"/>
        <v>10</v>
      </c>
      <c r="F19" s="1">
        <f t="shared" si="4"/>
        <v>32</v>
      </c>
      <c r="G19" s="105"/>
      <c r="H19" s="1">
        <f t="shared" si="5"/>
        <v>1</v>
      </c>
      <c r="I19" s="1">
        <f t="shared" si="5"/>
        <v>26</v>
      </c>
      <c r="K19" s="1">
        <f t="shared" si="0"/>
        <v>0.25</v>
      </c>
      <c r="L19" s="1">
        <f t="shared" si="1"/>
        <v>52</v>
      </c>
      <c r="M19" s="105"/>
      <c r="N19" s="1">
        <f t="shared" si="6"/>
        <v>0.5</v>
      </c>
      <c r="O19" s="12">
        <f t="shared" si="6"/>
        <v>52</v>
      </c>
      <c r="P19" s="135"/>
      <c r="Q19" s="277">
        <f t="shared" si="7"/>
        <v>3.5</v>
      </c>
      <c r="R19" s="155"/>
      <c r="S19" s="128">
        <f t="shared" si="8"/>
        <v>175000</v>
      </c>
      <c r="T19" s="156">
        <f t="shared" si="8"/>
        <v>675000</v>
      </c>
      <c r="U19" s="128"/>
      <c r="V19" s="273">
        <f t="shared" si="2"/>
        <v>231</v>
      </c>
      <c r="W19" s="273"/>
      <c r="X19" s="282">
        <f t="shared" si="3"/>
        <v>826</v>
      </c>
      <c r="Y19" s="279" t="s">
        <v>576</v>
      </c>
      <c r="Z19" s="129">
        <f t="shared" si="9"/>
        <v>14.66</v>
      </c>
    </row>
    <row r="20" spans="1:26">
      <c r="A20" s="9">
        <v>17</v>
      </c>
      <c r="B20" s="1" t="s">
        <v>393</v>
      </c>
      <c r="C20" s="1" t="s">
        <v>394</v>
      </c>
      <c r="D20" s="135"/>
      <c r="E20" s="1">
        <f t="shared" si="4"/>
        <v>10</v>
      </c>
      <c r="F20" s="1">
        <f t="shared" si="4"/>
        <v>32</v>
      </c>
      <c r="G20" s="105"/>
      <c r="H20" s="1">
        <f t="shared" si="5"/>
        <v>1</v>
      </c>
      <c r="I20" s="1">
        <f t="shared" si="5"/>
        <v>26</v>
      </c>
      <c r="K20" s="1">
        <f t="shared" si="0"/>
        <v>0.25</v>
      </c>
      <c r="L20" s="1">
        <f t="shared" si="1"/>
        <v>52</v>
      </c>
      <c r="M20" s="105"/>
      <c r="N20" s="1">
        <f t="shared" si="6"/>
        <v>0.5</v>
      </c>
      <c r="O20" s="12">
        <f t="shared" si="6"/>
        <v>52</v>
      </c>
      <c r="P20" s="135"/>
      <c r="Q20" s="277">
        <f t="shared" si="7"/>
        <v>3.5</v>
      </c>
      <c r="R20" s="155"/>
      <c r="S20" s="128">
        <f t="shared" si="8"/>
        <v>175000</v>
      </c>
      <c r="T20" s="156">
        <f t="shared" si="8"/>
        <v>675000</v>
      </c>
      <c r="U20" s="128"/>
      <c r="V20" s="273">
        <f t="shared" si="2"/>
        <v>231</v>
      </c>
      <c r="W20" s="273"/>
      <c r="X20" s="282">
        <f t="shared" si="3"/>
        <v>826</v>
      </c>
      <c r="Y20" s="279" t="s">
        <v>576</v>
      </c>
      <c r="Z20" s="129">
        <f t="shared" si="9"/>
        <v>14.66</v>
      </c>
    </row>
    <row r="21" spans="1:26">
      <c r="A21" s="9">
        <v>18</v>
      </c>
      <c r="B21" s="1" t="s">
        <v>398</v>
      </c>
      <c r="C21" s="1" t="s">
        <v>399</v>
      </c>
      <c r="D21" s="135"/>
      <c r="E21" s="1">
        <f t="shared" si="4"/>
        <v>10</v>
      </c>
      <c r="F21" s="1">
        <f t="shared" si="4"/>
        <v>32</v>
      </c>
      <c r="G21" s="105"/>
      <c r="H21" s="1">
        <f t="shared" si="5"/>
        <v>1</v>
      </c>
      <c r="I21" s="1">
        <f t="shared" si="5"/>
        <v>26</v>
      </c>
      <c r="K21" s="1">
        <f t="shared" si="0"/>
        <v>0.25</v>
      </c>
      <c r="L21" s="1">
        <f t="shared" si="1"/>
        <v>52</v>
      </c>
      <c r="M21" s="105"/>
      <c r="N21" s="1">
        <f t="shared" si="6"/>
        <v>0.5</v>
      </c>
      <c r="O21" s="12">
        <f t="shared" si="6"/>
        <v>52</v>
      </c>
      <c r="P21" s="135"/>
      <c r="Q21" s="277">
        <f t="shared" si="7"/>
        <v>3.5</v>
      </c>
      <c r="R21" s="155"/>
      <c r="S21" s="128">
        <f t="shared" si="8"/>
        <v>175000</v>
      </c>
      <c r="T21" s="156">
        <f t="shared" si="8"/>
        <v>675000</v>
      </c>
      <c r="U21" s="128"/>
      <c r="V21" s="273">
        <f t="shared" si="2"/>
        <v>231</v>
      </c>
      <c r="W21" s="273"/>
      <c r="X21" s="282">
        <f t="shared" si="3"/>
        <v>826</v>
      </c>
      <c r="Y21" s="279" t="s">
        <v>576</v>
      </c>
      <c r="Z21" s="129">
        <f t="shared" si="9"/>
        <v>14.66</v>
      </c>
    </row>
    <row r="22" spans="1:26">
      <c r="A22" s="9">
        <v>19</v>
      </c>
      <c r="B22" s="1" t="s">
        <v>403</v>
      </c>
      <c r="C22" s="1" t="s">
        <v>404</v>
      </c>
      <c r="D22" s="135"/>
      <c r="E22" s="1">
        <f t="shared" si="4"/>
        <v>10</v>
      </c>
      <c r="F22" s="1">
        <f t="shared" si="4"/>
        <v>32</v>
      </c>
      <c r="G22" s="105"/>
      <c r="H22" s="1">
        <f t="shared" si="5"/>
        <v>1</v>
      </c>
      <c r="I22" s="1">
        <f t="shared" si="5"/>
        <v>26</v>
      </c>
      <c r="K22" s="1">
        <f t="shared" si="0"/>
        <v>0.25</v>
      </c>
      <c r="L22" s="1">
        <f t="shared" si="1"/>
        <v>52</v>
      </c>
      <c r="M22" s="105"/>
      <c r="N22" s="1">
        <f t="shared" si="6"/>
        <v>0.5</v>
      </c>
      <c r="O22" s="12">
        <f t="shared" si="6"/>
        <v>52</v>
      </c>
      <c r="P22" s="135"/>
      <c r="Q22" s="277">
        <f t="shared" si="7"/>
        <v>3.5</v>
      </c>
      <c r="R22" s="155"/>
      <c r="S22" s="128">
        <f t="shared" si="8"/>
        <v>175000</v>
      </c>
      <c r="T22" s="156">
        <f t="shared" si="8"/>
        <v>675000</v>
      </c>
      <c r="U22" s="128"/>
      <c r="V22" s="273">
        <f t="shared" si="2"/>
        <v>231</v>
      </c>
      <c r="W22" s="273"/>
      <c r="X22" s="282">
        <f t="shared" si="3"/>
        <v>826</v>
      </c>
      <c r="Y22" s="279" t="s">
        <v>576</v>
      </c>
      <c r="Z22" s="129">
        <f t="shared" si="9"/>
        <v>14.66</v>
      </c>
    </row>
    <row r="23" spans="1:26">
      <c r="A23" s="9">
        <v>20</v>
      </c>
      <c r="B23" s="1" t="s">
        <v>408</v>
      </c>
      <c r="C23" s="1" t="s">
        <v>409</v>
      </c>
      <c r="D23" s="135"/>
      <c r="E23" s="1">
        <f t="shared" si="4"/>
        <v>10</v>
      </c>
      <c r="F23" s="1">
        <f t="shared" si="4"/>
        <v>32</v>
      </c>
      <c r="G23" s="105"/>
      <c r="H23" s="1">
        <f t="shared" si="5"/>
        <v>1</v>
      </c>
      <c r="I23" s="1">
        <f t="shared" si="5"/>
        <v>26</v>
      </c>
      <c r="K23" s="1">
        <f t="shared" si="0"/>
        <v>0.25</v>
      </c>
      <c r="L23" s="1">
        <f t="shared" si="1"/>
        <v>52</v>
      </c>
      <c r="M23" s="105"/>
      <c r="N23" s="1">
        <f t="shared" si="6"/>
        <v>0.5</v>
      </c>
      <c r="O23" s="12">
        <f t="shared" si="6"/>
        <v>52</v>
      </c>
      <c r="P23" s="135"/>
      <c r="Q23" s="277">
        <f t="shared" si="7"/>
        <v>3.5</v>
      </c>
      <c r="R23" s="155"/>
      <c r="S23" s="128">
        <f t="shared" si="8"/>
        <v>175000</v>
      </c>
      <c r="T23" s="156">
        <f t="shared" si="8"/>
        <v>675000</v>
      </c>
      <c r="U23" s="128"/>
      <c r="V23" s="273">
        <f t="shared" si="2"/>
        <v>231</v>
      </c>
      <c r="W23" s="273"/>
      <c r="X23" s="282">
        <f t="shared" si="3"/>
        <v>826</v>
      </c>
      <c r="Y23" s="279" t="s">
        <v>576</v>
      </c>
      <c r="Z23" s="129">
        <f t="shared" si="9"/>
        <v>14.66</v>
      </c>
    </row>
    <row r="24" spans="1:26">
      <c r="A24" s="9">
        <v>21</v>
      </c>
      <c r="B24" s="1" t="s">
        <v>413</v>
      </c>
      <c r="C24" s="1" t="s">
        <v>414</v>
      </c>
      <c r="D24" s="135"/>
      <c r="E24" s="1">
        <f t="shared" si="4"/>
        <v>10</v>
      </c>
      <c r="F24" s="1">
        <f t="shared" si="4"/>
        <v>32</v>
      </c>
      <c r="G24" s="105"/>
      <c r="H24" s="1">
        <f t="shared" si="5"/>
        <v>1</v>
      </c>
      <c r="I24" s="1">
        <f t="shared" si="5"/>
        <v>26</v>
      </c>
      <c r="K24" s="1">
        <f t="shared" si="0"/>
        <v>0.25</v>
      </c>
      <c r="L24" s="1">
        <f t="shared" si="1"/>
        <v>52</v>
      </c>
      <c r="M24" s="105"/>
      <c r="N24" s="1">
        <f t="shared" si="6"/>
        <v>0.5</v>
      </c>
      <c r="O24" s="12">
        <f t="shared" si="6"/>
        <v>52</v>
      </c>
      <c r="P24" s="135"/>
      <c r="Q24" s="277">
        <f t="shared" si="7"/>
        <v>3.5</v>
      </c>
      <c r="R24" s="155"/>
      <c r="S24" s="128">
        <f t="shared" si="8"/>
        <v>175000</v>
      </c>
      <c r="T24" s="156">
        <f t="shared" si="8"/>
        <v>675000</v>
      </c>
      <c r="U24" s="128"/>
      <c r="V24" s="273">
        <f t="shared" si="2"/>
        <v>231</v>
      </c>
      <c r="W24" s="273"/>
      <c r="X24" s="282">
        <f t="shared" si="3"/>
        <v>826</v>
      </c>
      <c r="Y24" s="279" t="s">
        <v>576</v>
      </c>
      <c r="Z24" s="129">
        <f t="shared" si="9"/>
        <v>14.66</v>
      </c>
    </row>
    <row r="25" spans="1:26">
      <c r="A25" s="9">
        <v>22</v>
      </c>
      <c r="B25" s="1" t="s">
        <v>418</v>
      </c>
      <c r="C25" s="1" t="s">
        <v>419</v>
      </c>
      <c r="D25" s="135"/>
      <c r="E25" s="1">
        <f t="shared" si="4"/>
        <v>10</v>
      </c>
      <c r="F25" s="1">
        <f t="shared" si="4"/>
        <v>32</v>
      </c>
      <c r="G25" s="105"/>
      <c r="H25" s="1">
        <f t="shared" si="5"/>
        <v>1</v>
      </c>
      <c r="I25" s="1">
        <f t="shared" si="5"/>
        <v>26</v>
      </c>
      <c r="K25" s="1">
        <f t="shared" si="0"/>
        <v>0.25</v>
      </c>
      <c r="L25" s="1">
        <f t="shared" si="1"/>
        <v>52</v>
      </c>
      <c r="M25" s="105"/>
      <c r="N25" s="1">
        <f t="shared" si="6"/>
        <v>0.5</v>
      </c>
      <c r="O25" s="12">
        <f t="shared" si="6"/>
        <v>52</v>
      </c>
      <c r="P25" s="135"/>
      <c r="Q25" s="277">
        <f t="shared" si="7"/>
        <v>3.5</v>
      </c>
      <c r="R25" s="155"/>
      <c r="S25" s="128">
        <f t="shared" si="8"/>
        <v>175000</v>
      </c>
      <c r="T25" s="156">
        <f t="shared" si="8"/>
        <v>675000</v>
      </c>
      <c r="U25" s="128"/>
      <c r="V25" s="273">
        <f t="shared" si="2"/>
        <v>231</v>
      </c>
      <c r="W25" s="273"/>
      <c r="X25" s="282">
        <f t="shared" si="3"/>
        <v>826</v>
      </c>
      <c r="Y25" s="279" t="s">
        <v>576</v>
      </c>
      <c r="Z25" s="129">
        <f t="shared" si="9"/>
        <v>14.66</v>
      </c>
    </row>
    <row r="26" spans="1:26">
      <c r="A26" s="9">
        <v>23</v>
      </c>
      <c r="B26" s="1" t="s">
        <v>424</v>
      </c>
      <c r="C26" s="1" t="s">
        <v>425</v>
      </c>
      <c r="D26" s="135"/>
      <c r="E26" s="1">
        <f t="shared" si="4"/>
        <v>10</v>
      </c>
      <c r="F26" s="1">
        <f t="shared" si="4"/>
        <v>32</v>
      </c>
      <c r="G26" s="105"/>
      <c r="H26" s="1">
        <f t="shared" si="5"/>
        <v>1</v>
      </c>
      <c r="I26" s="1">
        <f t="shared" si="5"/>
        <v>26</v>
      </c>
      <c r="K26" s="1">
        <f t="shared" si="0"/>
        <v>0.25</v>
      </c>
      <c r="L26" s="1">
        <f t="shared" si="1"/>
        <v>52</v>
      </c>
      <c r="M26" s="105"/>
      <c r="N26" s="1">
        <f t="shared" si="6"/>
        <v>0.5</v>
      </c>
      <c r="O26" s="12">
        <f t="shared" si="6"/>
        <v>52</v>
      </c>
      <c r="P26" s="135"/>
      <c r="Q26" s="277">
        <f t="shared" si="7"/>
        <v>3.5</v>
      </c>
      <c r="R26" s="155"/>
      <c r="S26" s="128">
        <f t="shared" si="8"/>
        <v>175000</v>
      </c>
      <c r="T26" s="156">
        <f t="shared" si="8"/>
        <v>675000</v>
      </c>
      <c r="U26" s="128"/>
      <c r="V26" s="273">
        <f t="shared" si="2"/>
        <v>231</v>
      </c>
      <c r="W26" s="273"/>
      <c r="X26" s="282">
        <f t="shared" si="3"/>
        <v>826</v>
      </c>
      <c r="Y26" s="279" t="s">
        <v>576</v>
      </c>
      <c r="Z26" s="129">
        <f t="shared" si="9"/>
        <v>14.66</v>
      </c>
    </row>
    <row r="27" spans="1:26">
      <c r="A27" s="9">
        <v>24</v>
      </c>
      <c r="B27" s="1" t="s">
        <v>429</v>
      </c>
      <c r="C27" s="1" t="s">
        <v>430</v>
      </c>
      <c r="D27" s="135"/>
      <c r="E27" s="1">
        <f t="shared" si="4"/>
        <v>10</v>
      </c>
      <c r="F27" s="1">
        <f t="shared" si="4"/>
        <v>32</v>
      </c>
      <c r="G27" s="105"/>
      <c r="H27" s="1">
        <f t="shared" si="5"/>
        <v>1</v>
      </c>
      <c r="I27" s="1">
        <f t="shared" si="5"/>
        <v>26</v>
      </c>
      <c r="K27" s="1">
        <f t="shared" si="0"/>
        <v>0.25</v>
      </c>
      <c r="L27" s="1">
        <f t="shared" si="1"/>
        <v>52</v>
      </c>
      <c r="M27" s="105"/>
      <c r="N27" s="1">
        <f t="shared" si="6"/>
        <v>0.5</v>
      </c>
      <c r="O27" s="12">
        <f t="shared" si="6"/>
        <v>52</v>
      </c>
      <c r="P27" s="135"/>
      <c r="Q27" s="277">
        <f t="shared" si="7"/>
        <v>3.5</v>
      </c>
      <c r="R27" s="155"/>
      <c r="S27" s="128">
        <f t="shared" si="8"/>
        <v>175000</v>
      </c>
      <c r="T27" s="156">
        <f t="shared" si="8"/>
        <v>675000</v>
      </c>
      <c r="U27" s="128"/>
      <c r="V27" s="273">
        <f t="shared" si="2"/>
        <v>231</v>
      </c>
      <c r="W27" s="273"/>
      <c r="X27" s="282">
        <f t="shared" si="3"/>
        <v>826</v>
      </c>
      <c r="Y27" s="279" t="s">
        <v>576</v>
      </c>
      <c r="Z27" s="129">
        <f t="shared" si="9"/>
        <v>14.66</v>
      </c>
    </row>
    <row r="28" spans="1:26">
      <c r="A28" s="9">
        <v>25</v>
      </c>
      <c r="B28" s="1" t="s">
        <v>434</v>
      </c>
      <c r="C28" s="1" t="s">
        <v>435</v>
      </c>
      <c r="D28" s="135"/>
      <c r="E28" s="1">
        <f t="shared" si="4"/>
        <v>10</v>
      </c>
      <c r="F28" s="1">
        <f t="shared" si="4"/>
        <v>32</v>
      </c>
      <c r="G28" s="105"/>
      <c r="H28" s="1">
        <f t="shared" si="5"/>
        <v>1</v>
      </c>
      <c r="I28" s="1">
        <f t="shared" si="5"/>
        <v>26</v>
      </c>
      <c r="K28" s="1">
        <f t="shared" si="0"/>
        <v>0.25</v>
      </c>
      <c r="L28" s="1">
        <f t="shared" si="1"/>
        <v>52</v>
      </c>
      <c r="M28" s="105"/>
      <c r="N28" s="1">
        <f t="shared" si="6"/>
        <v>0.5</v>
      </c>
      <c r="O28" s="12">
        <f t="shared" si="6"/>
        <v>52</v>
      </c>
      <c r="P28" s="135"/>
      <c r="Q28" s="277">
        <f t="shared" si="7"/>
        <v>3.5</v>
      </c>
      <c r="R28" s="155"/>
      <c r="S28" s="128">
        <f t="shared" si="8"/>
        <v>175000</v>
      </c>
      <c r="T28" s="156">
        <f t="shared" si="8"/>
        <v>675000</v>
      </c>
      <c r="U28" s="128"/>
      <c r="V28" s="273">
        <f t="shared" si="2"/>
        <v>231</v>
      </c>
      <c r="W28" s="273"/>
      <c r="X28" s="282">
        <f t="shared" si="3"/>
        <v>826</v>
      </c>
      <c r="Y28" s="279" t="s">
        <v>576</v>
      </c>
      <c r="Z28" s="129">
        <f t="shared" si="9"/>
        <v>14.66</v>
      </c>
    </row>
    <row r="29" spans="1:26">
      <c r="A29" s="9">
        <v>26</v>
      </c>
      <c r="B29" s="1" t="s">
        <v>439</v>
      </c>
      <c r="C29" s="1" t="s">
        <v>440</v>
      </c>
      <c r="D29" s="135"/>
      <c r="E29" s="1">
        <f t="shared" si="4"/>
        <v>10</v>
      </c>
      <c r="F29" s="1">
        <f t="shared" si="4"/>
        <v>32</v>
      </c>
      <c r="G29" s="105"/>
      <c r="H29" s="1">
        <f t="shared" si="5"/>
        <v>1</v>
      </c>
      <c r="I29" s="1">
        <f t="shared" si="5"/>
        <v>26</v>
      </c>
      <c r="K29" s="1">
        <f t="shared" si="0"/>
        <v>0.25</v>
      </c>
      <c r="L29" s="1">
        <f t="shared" si="1"/>
        <v>52</v>
      </c>
      <c r="M29" s="105"/>
      <c r="N29" s="1">
        <f t="shared" si="6"/>
        <v>0.5</v>
      </c>
      <c r="O29" s="12">
        <f t="shared" si="6"/>
        <v>52</v>
      </c>
      <c r="P29" s="135"/>
      <c r="Q29" s="277">
        <f t="shared" si="7"/>
        <v>3.5</v>
      </c>
      <c r="R29" s="155"/>
      <c r="S29" s="128">
        <f t="shared" si="8"/>
        <v>175000</v>
      </c>
      <c r="T29" s="156">
        <f t="shared" si="8"/>
        <v>675000</v>
      </c>
      <c r="U29" s="128"/>
      <c r="V29" s="273">
        <f t="shared" si="2"/>
        <v>231</v>
      </c>
      <c r="W29" s="273"/>
      <c r="X29" s="282">
        <f t="shared" si="3"/>
        <v>826</v>
      </c>
      <c r="Y29" s="279" t="s">
        <v>576</v>
      </c>
      <c r="Z29" s="129">
        <f t="shared" si="9"/>
        <v>14.66</v>
      </c>
    </row>
    <row r="30" spans="1:26">
      <c r="A30" s="9">
        <v>27</v>
      </c>
      <c r="B30" s="1" t="s">
        <v>444</v>
      </c>
      <c r="C30" s="1" t="s">
        <v>445</v>
      </c>
      <c r="D30" s="135"/>
      <c r="E30" s="1">
        <f t="shared" si="4"/>
        <v>10</v>
      </c>
      <c r="F30" s="1">
        <f t="shared" si="4"/>
        <v>32</v>
      </c>
      <c r="G30" s="105"/>
      <c r="H30" s="1">
        <f t="shared" si="5"/>
        <v>1</v>
      </c>
      <c r="I30" s="1">
        <f t="shared" si="5"/>
        <v>26</v>
      </c>
      <c r="K30" s="1">
        <f t="shared" si="0"/>
        <v>0.25</v>
      </c>
      <c r="L30" s="1">
        <f t="shared" si="1"/>
        <v>52</v>
      </c>
      <c r="M30" s="105"/>
      <c r="N30" s="1">
        <f t="shared" si="6"/>
        <v>0.5</v>
      </c>
      <c r="O30" s="12">
        <f t="shared" si="6"/>
        <v>52</v>
      </c>
      <c r="P30" s="135"/>
      <c r="Q30" s="277">
        <f t="shared" si="7"/>
        <v>3.5</v>
      </c>
      <c r="R30" s="155"/>
      <c r="S30" s="128">
        <f t="shared" si="8"/>
        <v>175000</v>
      </c>
      <c r="T30" s="156">
        <f t="shared" si="8"/>
        <v>675000</v>
      </c>
      <c r="U30" s="128"/>
      <c r="V30" s="273">
        <f t="shared" si="2"/>
        <v>231</v>
      </c>
      <c r="W30" s="273"/>
      <c r="X30" s="282">
        <f t="shared" si="3"/>
        <v>826</v>
      </c>
      <c r="Y30" s="279" t="s">
        <v>576</v>
      </c>
      <c r="Z30" s="129">
        <f t="shared" si="9"/>
        <v>14.66</v>
      </c>
    </row>
    <row r="31" spans="1:26">
      <c r="A31" s="9">
        <v>28</v>
      </c>
      <c r="B31" s="1" t="s">
        <v>449</v>
      </c>
      <c r="C31" s="1" t="s">
        <v>450</v>
      </c>
      <c r="D31" s="135"/>
      <c r="E31" s="1">
        <f t="shared" si="4"/>
        <v>10</v>
      </c>
      <c r="F31" s="1">
        <f t="shared" si="4"/>
        <v>32</v>
      </c>
      <c r="G31" s="105"/>
      <c r="H31" s="1">
        <f t="shared" si="5"/>
        <v>1</v>
      </c>
      <c r="I31" s="1">
        <f t="shared" si="5"/>
        <v>26</v>
      </c>
      <c r="K31" s="1">
        <f t="shared" si="0"/>
        <v>0.25</v>
      </c>
      <c r="L31" s="1">
        <f t="shared" si="1"/>
        <v>52</v>
      </c>
      <c r="M31" s="105"/>
      <c r="N31" s="1">
        <f t="shared" si="6"/>
        <v>0.5</v>
      </c>
      <c r="O31" s="12">
        <f t="shared" si="6"/>
        <v>52</v>
      </c>
      <c r="P31" s="135"/>
      <c r="Q31" s="277">
        <f t="shared" si="7"/>
        <v>3.5</v>
      </c>
      <c r="R31" s="155"/>
      <c r="S31" s="128">
        <f t="shared" si="8"/>
        <v>175000</v>
      </c>
      <c r="T31" s="156">
        <f t="shared" si="8"/>
        <v>675000</v>
      </c>
      <c r="U31" s="128"/>
      <c r="V31" s="273">
        <f t="shared" si="2"/>
        <v>231</v>
      </c>
      <c r="W31" s="273"/>
      <c r="X31" s="282">
        <f t="shared" si="3"/>
        <v>826</v>
      </c>
      <c r="Y31" s="279" t="s">
        <v>576</v>
      </c>
      <c r="Z31" s="129">
        <f t="shared" si="9"/>
        <v>14.66</v>
      </c>
    </row>
    <row r="32" spans="1:26">
      <c r="A32" s="9">
        <v>29</v>
      </c>
      <c r="B32" s="1" t="s">
        <v>454</v>
      </c>
      <c r="C32" s="1" t="s">
        <v>455</v>
      </c>
      <c r="D32" s="135"/>
      <c r="E32" s="1">
        <f t="shared" si="4"/>
        <v>10</v>
      </c>
      <c r="F32" s="1">
        <f t="shared" si="4"/>
        <v>32</v>
      </c>
      <c r="G32" s="105"/>
      <c r="H32" s="1">
        <f t="shared" si="5"/>
        <v>1</v>
      </c>
      <c r="I32" s="1">
        <f t="shared" si="5"/>
        <v>26</v>
      </c>
      <c r="K32" s="1">
        <f t="shared" si="0"/>
        <v>0.25</v>
      </c>
      <c r="L32" s="1">
        <f t="shared" si="1"/>
        <v>52</v>
      </c>
      <c r="M32" s="105"/>
      <c r="N32" s="1">
        <f t="shared" si="6"/>
        <v>0.5</v>
      </c>
      <c r="O32" s="12">
        <f t="shared" si="6"/>
        <v>52</v>
      </c>
      <c r="P32" s="135"/>
      <c r="Q32" s="277">
        <f t="shared" si="7"/>
        <v>3.5</v>
      </c>
      <c r="R32" s="155"/>
      <c r="S32" s="128">
        <f t="shared" si="8"/>
        <v>175000</v>
      </c>
      <c r="T32" s="156">
        <f t="shared" si="8"/>
        <v>675000</v>
      </c>
      <c r="U32" s="128"/>
      <c r="V32" s="273">
        <f t="shared" si="2"/>
        <v>231</v>
      </c>
      <c r="W32" s="273"/>
      <c r="X32" s="282">
        <f t="shared" si="3"/>
        <v>826</v>
      </c>
      <c r="Y32" s="279" t="s">
        <v>576</v>
      </c>
      <c r="Z32" s="129">
        <f t="shared" si="9"/>
        <v>14.66</v>
      </c>
    </row>
    <row r="33" spans="1:26">
      <c r="A33" s="9">
        <v>30</v>
      </c>
      <c r="B33" s="1" t="s">
        <v>459</v>
      </c>
      <c r="C33" s="1" t="s">
        <v>460</v>
      </c>
      <c r="D33" s="135"/>
      <c r="E33" s="1">
        <f t="shared" si="4"/>
        <v>10</v>
      </c>
      <c r="F33" s="1">
        <f t="shared" si="4"/>
        <v>32</v>
      </c>
      <c r="G33" s="105"/>
      <c r="H33" s="1">
        <f t="shared" si="5"/>
        <v>1</v>
      </c>
      <c r="I33" s="1">
        <f t="shared" si="5"/>
        <v>26</v>
      </c>
      <c r="K33" s="1">
        <f t="shared" si="0"/>
        <v>0.25</v>
      </c>
      <c r="L33" s="1">
        <f t="shared" si="1"/>
        <v>52</v>
      </c>
      <c r="M33" s="105"/>
      <c r="N33" s="1">
        <f t="shared" si="6"/>
        <v>0.5</v>
      </c>
      <c r="O33" s="12">
        <f t="shared" si="6"/>
        <v>52</v>
      </c>
      <c r="P33" s="135"/>
      <c r="Q33" s="277">
        <f t="shared" si="7"/>
        <v>3.5</v>
      </c>
      <c r="R33" s="155"/>
      <c r="S33" s="128">
        <f t="shared" si="8"/>
        <v>175000</v>
      </c>
      <c r="T33" s="156">
        <f t="shared" si="8"/>
        <v>675000</v>
      </c>
      <c r="U33" s="128"/>
      <c r="V33" s="273">
        <f t="shared" si="2"/>
        <v>231</v>
      </c>
      <c r="W33" s="273"/>
      <c r="X33" s="282">
        <f t="shared" si="3"/>
        <v>826</v>
      </c>
      <c r="Y33" s="279" t="s">
        <v>576</v>
      </c>
      <c r="Z33" s="129">
        <f t="shared" si="9"/>
        <v>14.66</v>
      </c>
    </row>
    <row r="34" spans="1:26">
      <c r="A34" s="9">
        <v>31</v>
      </c>
      <c r="B34" s="1" t="s">
        <v>464</v>
      </c>
      <c r="C34" s="1" t="s">
        <v>465</v>
      </c>
      <c r="D34" s="135"/>
      <c r="E34" s="1">
        <f t="shared" si="4"/>
        <v>10</v>
      </c>
      <c r="F34" s="1">
        <f t="shared" si="4"/>
        <v>32</v>
      </c>
      <c r="G34" s="105"/>
      <c r="H34" s="1">
        <f t="shared" si="5"/>
        <v>1</v>
      </c>
      <c r="I34" s="1">
        <f t="shared" si="5"/>
        <v>26</v>
      </c>
      <c r="K34" s="1">
        <f t="shared" si="0"/>
        <v>0.25</v>
      </c>
      <c r="L34" s="1">
        <f t="shared" si="1"/>
        <v>52</v>
      </c>
      <c r="M34" s="105"/>
      <c r="N34" s="1">
        <f t="shared" si="6"/>
        <v>0.5</v>
      </c>
      <c r="O34" s="12">
        <f t="shared" si="6"/>
        <v>52</v>
      </c>
      <c r="P34" s="135"/>
      <c r="Q34" s="277">
        <f t="shared" si="7"/>
        <v>3.5</v>
      </c>
      <c r="R34" s="155"/>
      <c r="S34" s="128">
        <f t="shared" si="8"/>
        <v>175000</v>
      </c>
      <c r="T34" s="156">
        <f t="shared" si="8"/>
        <v>675000</v>
      </c>
      <c r="U34" s="128"/>
      <c r="V34" s="273">
        <f t="shared" si="2"/>
        <v>231</v>
      </c>
      <c r="W34" s="273"/>
      <c r="X34" s="282">
        <f t="shared" si="3"/>
        <v>826</v>
      </c>
      <c r="Y34" s="279" t="s">
        <v>576</v>
      </c>
      <c r="Z34" s="129">
        <f t="shared" si="9"/>
        <v>14.66</v>
      </c>
    </row>
    <row r="35" spans="1:26">
      <c r="A35" s="9">
        <v>32</v>
      </c>
      <c r="B35" s="1" t="s">
        <v>469</v>
      </c>
      <c r="C35" s="1" t="s">
        <v>470</v>
      </c>
      <c r="D35" s="135"/>
      <c r="E35" s="1">
        <f t="shared" si="4"/>
        <v>10</v>
      </c>
      <c r="F35" s="1">
        <f t="shared" si="4"/>
        <v>32</v>
      </c>
      <c r="G35" s="105"/>
      <c r="H35" s="1">
        <f t="shared" si="5"/>
        <v>1</v>
      </c>
      <c r="I35" s="1">
        <f t="shared" si="5"/>
        <v>26</v>
      </c>
      <c r="K35" s="1">
        <f t="shared" si="0"/>
        <v>0.25</v>
      </c>
      <c r="L35" s="1">
        <f t="shared" si="1"/>
        <v>52</v>
      </c>
      <c r="M35" s="105"/>
      <c r="N35" s="1">
        <f t="shared" si="6"/>
        <v>0.5</v>
      </c>
      <c r="O35" s="12">
        <f t="shared" si="6"/>
        <v>52</v>
      </c>
      <c r="P35" s="135"/>
      <c r="Q35" s="277">
        <f t="shared" si="7"/>
        <v>3.5</v>
      </c>
      <c r="R35" s="155"/>
      <c r="S35" s="128">
        <f t="shared" si="8"/>
        <v>175000</v>
      </c>
      <c r="T35" s="156">
        <f t="shared" si="8"/>
        <v>675000</v>
      </c>
      <c r="U35" s="128"/>
      <c r="V35" s="273">
        <f t="shared" si="2"/>
        <v>231</v>
      </c>
      <c r="W35" s="273"/>
      <c r="X35" s="282">
        <f t="shared" si="3"/>
        <v>826</v>
      </c>
      <c r="Y35" s="279" t="s">
        <v>576</v>
      </c>
      <c r="Z35" s="129">
        <f t="shared" si="9"/>
        <v>14.66</v>
      </c>
    </row>
    <row r="36" spans="1:26">
      <c r="A36" s="9">
        <v>33</v>
      </c>
      <c r="B36" s="1" t="s">
        <v>474</v>
      </c>
      <c r="C36" s="1" t="s">
        <v>475</v>
      </c>
      <c r="D36" s="135"/>
      <c r="E36" s="1">
        <f t="shared" si="4"/>
        <v>10</v>
      </c>
      <c r="F36" s="1">
        <f t="shared" si="4"/>
        <v>32</v>
      </c>
      <c r="G36" s="105"/>
      <c r="H36" s="1">
        <f t="shared" si="5"/>
        <v>1</v>
      </c>
      <c r="I36" s="1">
        <f t="shared" si="5"/>
        <v>26</v>
      </c>
      <c r="K36" s="1">
        <f t="shared" ref="K36:K53" si="10">$K$3</f>
        <v>0.25</v>
      </c>
      <c r="L36" s="1">
        <f t="shared" ref="L36:L53" si="11">$L$3</f>
        <v>52</v>
      </c>
      <c r="M36" s="105"/>
      <c r="N36" s="1">
        <f t="shared" si="6"/>
        <v>0.5</v>
      </c>
      <c r="O36" s="12">
        <f t="shared" si="6"/>
        <v>52</v>
      </c>
      <c r="P36" s="135"/>
      <c r="Q36" s="277">
        <f t="shared" si="7"/>
        <v>3.5</v>
      </c>
      <c r="R36" s="155"/>
      <c r="S36" s="128">
        <f t="shared" si="8"/>
        <v>175000</v>
      </c>
      <c r="T36" s="156">
        <f t="shared" si="8"/>
        <v>675000</v>
      </c>
      <c r="U36" s="128"/>
      <c r="V36" s="273">
        <f t="shared" ref="V36:V53" si="12">$V$3</f>
        <v>231</v>
      </c>
      <c r="W36" s="273"/>
      <c r="X36" s="282">
        <f t="shared" ref="X36:X53" si="13">$X$3</f>
        <v>826</v>
      </c>
      <c r="Y36" s="279" t="s">
        <v>576</v>
      </c>
      <c r="Z36" s="129">
        <f t="shared" si="9"/>
        <v>14.66</v>
      </c>
    </row>
    <row r="37" spans="1:26">
      <c r="A37" s="9">
        <v>34</v>
      </c>
      <c r="B37" s="1" t="s">
        <v>479</v>
      </c>
      <c r="C37" s="1" t="s">
        <v>480</v>
      </c>
      <c r="D37" s="135"/>
      <c r="E37" s="1">
        <f t="shared" si="4"/>
        <v>10</v>
      </c>
      <c r="F37" s="1">
        <f t="shared" si="4"/>
        <v>32</v>
      </c>
      <c r="G37" s="105"/>
      <c r="H37" s="1">
        <f t="shared" si="5"/>
        <v>1</v>
      </c>
      <c r="I37" s="1">
        <f t="shared" si="5"/>
        <v>26</v>
      </c>
      <c r="K37" s="1">
        <f t="shared" si="10"/>
        <v>0.25</v>
      </c>
      <c r="L37" s="1">
        <f t="shared" si="11"/>
        <v>52</v>
      </c>
      <c r="M37" s="105"/>
      <c r="N37" s="1">
        <f t="shared" si="6"/>
        <v>0.5</v>
      </c>
      <c r="O37" s="12">
        <f t="shared" si="6"/>
        <v>52</v>
      </c>
      <c r="P37" s="135"/>
      <c r="Q37" s="277">
        <f t="shared" si="7"/>
        <v>3.5</v>
      </c>
      <c r="R37" s="155"/>
      <c r="S37" s="128">
        <f t="shared" ref="S37:T53" si="14">S$3</f>
        <v>175000</v>
      </c>
      <c r="T37" s="156">
        <f t="shared" si="14"/>
        <v>675000</v>
      </c>
      <c r="U37" s="128"/>
      <c r="V37" s="273">
        <f t="shared" si="12"/>
        <v>231</v>
      </c>
      <c r="W37" s="273"/>
      <c r="X37" s="282">
        <f t="shared" si="13"/>
        <v>826</v>
      </c>
      <c r="Y37" s="279" t="s">
        <v>576</v>
      </c>
      <c r="Z37" s="129">
        <f t="shared" si="9"/>
        <v>14.66</v>
      </c>
    </row>
    <row r="38" spans="1:26">
      <c r="A38" s="9">
        <v>35</v>
      </c>
      <c r="B38" s="1" t="s">
        <v>484</v>
      </c>
      <c r="C38" s="1" t="s">
        <v>485</v>
      </c>
      <c r="D38" s="135"/>
      <c r="E38" s="1">
        <f t="shared" si="4"/>
        <v>10</v>
      </c>
      <c r="F38" s="1">
        <f t="shared" si="4"/>
        <v>32</v>
      </c>
      <c r="G38" s="105"/>
      <c r="H38" s="1">
        <f t="shared" si="5"/>
        <v>1</v>
      </c>
      <c r="I38" s="1">
        <f t="shared" si="5"/>
        <v>26</v>
      </c>
      <c r="K38" s="1">
        <f t="shared" si="10"/>
        <v>0.25</v>
      </c>
      <c r="L38" s="1">
        <f t="shared" si="11"/>
        <v>52</v>
      </c>
      <c r="M38" s="105"/>
      <c r="N38" s="1">
        <f t="shared" si="6"/>
        <v>0.5</v>
      </c>
      <c r="O38" s="12">
        <f t="shared" si="6"/>
        <v>52</v>
      </c>
      <c r="P38" s="135"/>
      <c r="Q38" s="277">
        <f t="shared" si="7"/>
        <v>3.5</v>
      </c>
      <c r="R38" s="155"/>
      <c r="S38" s="128">
        <f t="shared" si="14"/>
        <v>175000</v>
      </c>
      <c r="T38" s="156">
        <f t="shared" si="14"/>
        <v>675000</v>
      </c>
      <c r="U38" s="128"/>
      <c r="V38" s="273">
        <f t="shared" si="12"/>
        <v>231</v>
      </c>
      <c r="W38" s="273"/>
      <c r="X38" s="282">
        <f t="shared" si="13"/>
        <v>826</v>
      </c>
      <c r="Y38" s="279" t="s">
        <v>576</v>
      </c>
      <c r="Z38" s="129">
        <f t="shared" si="9"/>
        <v>14.66</v>
      </c>
    </row>
    <row r="39" spans="1:26">
      <c r="A39" s="9">
        <v>36</v>
      </c>
      <c r="B39" s="1" t="s">
        <v>141</v>
      </c>
      <c r="C39" s="1" t="s">
        <v>489</v>
      </c>
      <c r="D39" s="135"/>
      <c r="E39" s="1">
        <f t="shared" si="4"/>
        <v>10</v>
      </c>
      <c r="F39" s="1">
        <f t="shared" si="4"/>
        <v>32</v>
      </c>
      <c r="G39" s="105"/>
      <c r="H39" s="1">
        <f t="shared" si="5"/>
        <v>1</v>
      </c>
      <c r="I39" s="1">
        <f t="shared" si="5"/>
        <v>26</v>
      </c>
      <c r="K39" s="1">
        <f t="shared" si="10"/>
        <v>0.25</v>
      </c>
      <c r="L39" s="1">
        <f t="shared" si="11"/>
        <v>52</v>
      </c>
      <c r="M39" s="105"/>
      <c r="N39" s="1">
        <f t="shared" si="6"/>
        <v>0.5</v>
      </c>
      <c r="O39" s="12">
        <f t="shared" si="6"/>
        <v>52</v>
      </c>
      <c r="P39" s="135"/>
      <c r="Q39" s="277">
        <f t="shared" si="7"/>
        <v>3.5</v>
      </c>
      <c r="R39" s="155"/>
      <c r="S39" s="128">
        <f t="shared" si="14"/>
        <v>175000</v>
      </c>
      <c r="T39" s="156">
        <f t="shared" si="14"/>
        <v>675000</v>
      </c>
      <c r="U39" s="128"/>
      <c r="V39" s="273">
        <f t="shared" si="12"/>
        <v>231</v>
      </c>
      <c r="W39" s="273"/>
      <c r="X39" s="282">
        <f t="shared" si="13"/>
        <v>826</v>
      </c>
      <c r="Y39" s="279" t="s">
        <v>576</v>
      </c>
      <c r="Z39" s="129">
        <f t="shared" si="9"/>
        <v>14.66</v>
      </c>
    </row>
    <row r="40" spans="1:26">
      <c r="A40" s="9">
        <v>37</v>
      </c>
      <c r="B40" s="1" t="s">
        <v>493</v>
      </c>
      <c r="C40" s="1" t="s">
        <v>494</v>
      </c>
      <c r="D40" s="135"/>
      <c r="E40" s="1">
        <f t="shared" si="4"/>
        <v>10</v>
      </c>
      <c r="F40" s="1">
        <f t="shared" si="4"/>
        <v>32</v>
      </c>
      <c r="G40" s="105"/>
      <c r="H40" s="1">
        <f t="shared" si="5"/>
        <v>1</v>
      </c>
      <c r="I40" s="1">
        <f t="shared" si="5"/>
        <v>26</v>
      </c>
      <c r="K40" s="1">
        <f t="shared" si="10"/>
        <v>0.25</v>
      </c>
      <c r="L40" s="1">
        <f t="shared" si="11"/>
        <v>52</v>
      </c>
      <c r="M40" s="105"/>
      <c r="N40" s="1">
        <f t="shared" si="6"/>
        <v>0.5</v>
      </c>
      <c r="O40" s="12">
        <f t="shared" si="6"/>
        <v>52</v>
      </c>
      <c r="P40" s="135"/>
      <c r="Q40" s="277">
        <f t="shared" si="7"/>
        <v>3.5</v>
      </c>
      <c r="R40" s="155"/>
      <c r="S40" s="128">
        <f t="shared" si="14"/>
        <v>175000</v>
      </c>
      <c r="T40" s="156">
        <f t="shared" si="14"/>
        <v>675000</v>
      </c>
      <c r="U40" s="128"/>
      <c r="V40" s="273">
        <f t="shared" si="12"/>
        <v>231</v>
      </c>
      <c r="W40" s="273"/>
      <c r="X40" s="282">
        <f t="shared" si="13"/>
        <v>826</v>
      </c>
      <c r="Y40" s="279" t="s">
        <v>576</v>
      </c>
      <c r="Z40" s="129">
        <f t="shared" si="9"/>
        <v>14.66</v>
      </c>
    </row>
    <row r="41" spans="1:26">
      <c r="A41" s="9">
        <v>38</v>
      </c>
      <c r="B41" s="1" t="s">
        <v>498</v>
      </c>
      <c r="C41" s="1" t="s">
        <v>499</v>
      </c>
      <c r="D41" s="135"/>
      <c r="E41" s="1">
        <f t="shared" si="4"/>
        <v>10</v>
      </c>
      <c r="F41" s="1">
        <f t="shared" si="4"/>
        <v>32</v>
      </c>
      <c r="G41" s="105"/>
      <c r="H41" s="1">
        <f t="shared" si="5"/>
        <v>1</v>
      </c>
      <c r="I41" s="1">
        <f t="shared" si="5"/>
        <v>26</v>
      </c>
      <c r="K41" s="1">
        <f t="shared" si="10"/>
        <v>0.25</v>
      </c>
      <c r="L41" s="1">
        <f t="shared" si="11"/>
        <v>52</v>
      </c>
      <c r="M41" s="105"/>
      <c r="N41" s="1">
        <f t="shared" si="6"/>
        <v>0.5</v>
      </c>
      <c r="O41" s="12">
        <f t="shared" si="6"/>
        <v>52</v>
      </c>
      <c r="P41" s="135"/>
      <c r="Q41" s="277">
        <f t="shared" si="7"/>
        <v>3.5</v>
      </c>
      <c r="R41" s="155"/>
      <c r="S41" s="128">
        <f t="shared" si="14"/>
        <v>175000</v>
      </c>
      <c r="T41" s="156">
        <f t="shared" si="14"/>
        <v>675000</v>
      </c>
      <c r="U41" s="128"/>
      <c r="V41" s="273">
        <f t="shared" si="12"/>
        <v>231</v>
      </c>
      <c r="W41" s="273"/>
      <c r="X41" s="282">
        <f t="shared" si="13"/>
        <v>826</v>
      </c>
      <c r="Y41" s="279" t="s">
        <v>576</v>
      </c>
      <c r="Z41" s="129">
        <f t="shared" si="9"/>
        <v>14.66</v>
      </c>
    </row>
    <row r="42" spans="1:26">
      <c r="A42" s="9">
        <v>39</v>
      </c>
      <c r="B42" s="1" t="s">
        <v>503</v>
      </c>
      <c r="C42" s="1" t="s">
        <v>504</v>
      </c>
      <c r="D42" s="135"/>
      <c r="E42" s="1">
        <f t="shared" si="4"/>
        <v>10</v>
      </c>
      <c r="F42" s="1">
        <f t="shared" si="4"/>
        <v>32</v>
      </c>
      <c r="G42" s="105"/>
      <c r="H42" s="1">
        <f t="shared" si="5"/>
        <v>1</v>
      </c>
      <c r="I42" s="1">
        <f t="shared" si="5"/>
        <v>26</v>
      </c>
      <c r="K42" s="1">
        <f t="shared" si="10"/>
        <v>0.25</v>
      </c>
      <c r="L42" s="1">
        <f t="shared" si="11"/>
        <v>52</v>
      </c>
      <c r="M42" s="105"/>
      <c r="N42" s="1">
        <f t="shared" si="6"/>
        <v>0.5</v>
      </c>
      <c r="O42" s="12">
        <f t="shared" si="6"/>
        <v>52</v>
      </c>
      <c r="P42" s="135"/>
      <c r="Q42" s="277">
        <f t="shared" si="7"/>
        <v>3.5</v>
      </c>
      <c r="R42" s="155"/>
      <c r="S42" s="128">
        <f t="shared" si="14"/>
        <v>175000</v>
      </c>
      <c r="T42" s="156">
        <f t="shared" si="14"/>
        <v>675000</v>
      </c>
      <c r="U42" s="128"/>
      <c r="V42" s="273">
        <f t="shared" si="12"/>
        <v>231</v>
      </c>
      <c r="W42" s="273"/>
      <c r="X42" s="282">
        <f t="shared" si="13"/>
        <v>826</v>
      </c>
      <c r="Y42" s="279" t="s">
        <v>576</v>
      </c>
      <c r="Z42" s="129">
        <f t="shared" si="9"/>
        <v>14.66</v>
      </c>
    </row>
    <row r="43" spans="1:26">
      <c r="A43" s="9">
        <v>40</v>
      </c>
      <c r="B43" s="1" t="s">
        <v>508</v>
      </c>
      <c r="C43" s="1" t="s">
        <v>509</v>
      </c>
      <c r="D43" s="135"/>
      <c r="E43" s="1">
        <f t="shared" si="4"/>
        <v>10</v>
      </c>
      <c r="F43" s="1">
        <f t="shared" si="4"/>
        <v>32</v>
      </c>
      <c r="G43" s="105"/>
      <c r="H43" s="1">
        <f t="shared" si="5"/>
        <v>1</v>
      </c>
      <c r="I43" s="1">
        <f t="shared" si="5"/>
        <v>26</v>
      </c>
      <c r="K43" s="1">
        <f t="shared" si="10"/>
        <v>0.25</v>
      </c>
      <c r="L43" s="1">
        <f t="shared" si="11"/>
        <v>52</v>
      </c>
      <c r="M43" s="105"/>
      <c r="N43" s="1">
        <f t="shared" si="6"/>
        <v>0.5</v>
      </c>
      <c r="O43" s="12">
        <f t="shared" si="6"/>
        <v>52</v>
      </c>
      <c r="P43" s="135"/>
      <c r="Q43" s="277">
        <f t="shared" si="7"/>
        <v>3.5</v>
      </c>
      <c r="R43" s="155"/>
      <c r="S43" s="128">
        <f t="shared" si="14"/>
        <v>175000</v>
      </c>
      <c r="T43" s="156">
        <f t="shared" si="14"/>
        <v>675000</v>
      </c>
      <c r="U43" s="128"/>
      <c r="V43" s="273">
        <f t="shared" si="12"/>
        <v>231</v>
      </c>
      <c r="W43" s="273"/>
      <c r="X43" s="282">
        <f t="shared" si="13"/>
        <v>826</v>
      </c>
      <c r="Y43" s="279" t="s">
        <v>576</v>
      </c>
      <c r="Z43" s="129">
        <f t="shared" si="9"/>
        <v>14.66</v>
      </c>
    </row>
    <row r="44" spans="1:26">
      <c r="A44" s="9">
        <v>41</v>
      </c>
      <c r="B44" s="1" t="s">
        <v>513</v>
      </c>
      <c r="C44" s="1" t="s">
        <v>514</v>
      </c>
      <c r="D44" s="135"/>
      <c r="E44" s="1">
        <f t="shared" si="4"/>
        <v>10</v>
      </c>
      <c r="F44" s="1">
        <f t="shared" si="4"/>
        <v>32</v>
      </c>
      <c r="G44" s="105"/>
      <c r="H44" s="1">
        <f t="shared" si="5"/>
        <v>1</v>
      </c>
      <c r="I44" s="1">
        <f t="shared" si="5"/>
        <v>26</v>
      </c>
      <c r="K44" s="1">
        <f t="shared" si="10"/>
        <v>0.25</v>
      </c>
      <c r="L44" s="1">
        <f t="shared" si="11"/>
        <v>52</v>
      </c>
      <c r="M44" s="105"/>
      <c r="N44" s="1">
        <f t="shared" si="6"/>
        <v>0.5</v>
      </c>
      <c r="O44" s="12">
        <f t="shared" si="6"/>
        <v>52</v>
      </c>
      <c r="P44" s="135"/>
      <c r="Q44" s="277">
        <f t="shared" si="7"/>
        <v>3.5</v>
      </c>
      <c r="R44" s="155"/>
      <c r="S44" s="128">
        <f t="shared" si="14"/>
        <v>175000</v>
      </c>
      <c r="T44" s="156">
        <f t="shared" si="14"/>
        <v>675000</v>
      </c>
      <c r="U44" s="128"/>
      <c r="V44" s="273">
        <f t="shared" si="12"/>
        <v>231</v>
      </c>
      <c r="W44" s="273"/>
      <c r="X44" s="282">
        <f t="shared" si="13"/>
        <v>826</v>
      </c>
      <c r="Y44" s="279" t="s">
        <v>576</v>
      </c>
      <c r="Z44" s="129">
        <f t="shared" si="9"/>
        <v>14.66</v>
      </c>
    </row>
    <row r="45" spans="1:26">
      <c r="A45" s="9">
        <v>42</v>
      </c>
      <c r="B45" s="1" t="s">
        <v>518</v>
      </c>
      <c r="C45" s="1" t="s">
        <v>519</v>
      </c>
      <c r="D45" s="135"/>
      <c r="E45" s="1">
        <f t="shared" si="4"/>
        <v>10</v>
      </c>
      <c r="F45" s="1">
        <f t="shared" si="4"/>
        <v>32</v>
      </c>
      <c r="G45" s="105"/>
      <c r="H45" s="1">
        <f t="shared" si="5"/>
        <v>1</v>
      </c>
      <c r="I45" s="1">
        <f t="shared" si="5"/>
        <v>26</v>
      </c>
      <c r="K45" s="1">
        <f t="shared" si="10"/>
        <v>0.25</v>
      </c>
      <c r="L45" s="1">
        <f t="shared" si="11"/>
        <v>52</v>
      </c>
      <c r="M45" s="105"/>
      <c r="N45" s="1">
        <f t="shared" si="6"/>
        <v>0.5</v>
      </c>
      <c r="O45" s="12">
        <f t="shared" si="6"/>
        <v>52</v>
      </c>
      <c r="P45" s="135"/>
      <c r="Q45" s="277">
        <f t="shared" si="7"/>
        <v>3.5</v>
      </c>
      <c r="R45" s="155"/>
      <c r="S45" s="128">
        <f t="shared" si="14"/>
        <v>175000</v>
      </c>
      <c r="T45" s="156">
        <f t="shared" si="14"/>
        <v>675000</v>
      </c>
      <c r="U45" s="128"/>
      <c r="V45" s="273">
        <f t="shared" si="12"/>
        <v>231</v>
      </c>
      <c r="W45" s="273"/>
      <c r="X45" s="282">
        <f t="shared" si="13"/>
        <v>826</v>
      </c>
      <c r="Y45" s="279" t="s">
        <v>576</v>
      </c>
      <c r="Z45" s="129">
        <f t="shared" si="9"/>
        <v>14.66</v>
      </c>
    </row>
    <row r="46" spans="1:26">
      <c r="A46" s="9">
        <v>43</v>
      </c>
      <c r="B46" s="1" t="s">
        <v>523</v>
      </c>
      <c r="C46" s="1" t="s">
        <v>524</v>
      </c>
      <c r="D46" s="135"/>
      <c r="E46" s="1">
        <f t="shared" si="4"/>
        <v>10</v>
      </c>
      <c r="F46" s="1">
        <f t="shared" si="4"/>
        <v>32</v>
      </c>
      <c r="G46" s="105"/>
      <c r="H46" s="1">
        <f t="shared" si="5"/>
        <v>1</v>
      </c>
      <c r="I46" s="1">
        <f t="shared" si="5"/>
        <v>26</v>
      </c>
      <c r="K46" s="1">
        <f t="shared" si="10"/>
        <v>0.25</v>
      </c>
      <c r="L46" s="1">
        <f t="shared" si="11"/>
        <v>52</v>
      </c>
      <c r="M46" s="105"/>
      <c r="N46" s="1">
        <f t="shared" si="6"/>
        <v>0.5</v>
      </c>
      <c r="O46" s="12">
        <f t="shared" si="6"/>
        <v>52</v>
      </c>
      <c r="P46" s="135"/>
      <c r="Q46" s="277">
        <f t="shared" si="7"/>
        <v>3.5</v>
      </c>
      <c r="R46" s="155"/>
      <c r="S46" s="128">
        <f t="shared" si="14"/>
        <v>175000</v>
      </c>
      <c r="T46" s="156">
        <f t="shared" si="14"/>
        <v>675000</v>
      </c>
      <c r="U46" s="128"/>
      <c r="V46" s="273">
        <f t="shared" si="12"/>
        <v>231</v>
      </c>
      <c r="W46" s="273"/>
      <c r="X46" s="282">
        <f t="shared" si="13"/>
        <v>826</v>
      </c>
      <c r="Y46" s="279" t="s">
        <v>576</v>
      </c>
      <c r="Z46" s="129">
        <f t="shared" si="9"/>
        <v>14.66</v>
      </c>
    </row>
    <row r="47" spans="1:26">
      <c r="A47" s="9">
        <v>44</v>
      </c>
      <c r="B47" s="1" t="s">
        <v>528</v>
      </c>
      <c r="C47" s="1" t="s">
        <v>529</v>
      </c>
      <c r="D47" s="135"/>
      <c r="E47" s="1">
        <f t="shared" si="4"/>
        <v>10</v>
      </c>
      <c r="F47" s="1">
        <f t="shared" si="4"/>
        <v>32</v>
      </c>
      <c r="G47" s="105"/>
      <c r="H47" s="1">
        <f t="shared" si="5"/>
        <v>1</v>
      </c>
      <c r="I47" s="1">
        <f t="shared" si="5"/>
        <v>26</v>
      </c>
      <c r="K47" s="1">
        <f t="shared" si="10"/>
        <v>0.25</v>
      </c>
      <c r="L47" s="1">
        <f t="shared" si="11"/>
        <v>52</v>
      </c>
      <c r="M47" s="105"/>
      <c r="N47" s="1">
        <f t="shared" si="6"/>
        <v>0.5</v>
      </c>
      <c r="O47" s="12">
        <f t="shared" si="6"/>
        <v>52</v>
      </c>
      <c r="P47" s="135"/>
      <c r="Q47" s="277">
        <f t="shared" si="7"/>
        <v>3.5</v>
      </c>
      <c r="R47" s="155"/>
      <c r="S47" s="128">
        <f t="shared" si="14"/>
        <v>175000</v>
      </c>
      <c r="T47" s="156">
        <f t="shared" si="14"/>
        <v>675000</v>
      </c>
      <c r="U47" s="128"/>
      <c r="V47" s="273">
        <f t="shared" si="12"/>
        <v>231</v>
      </c>
      <c r="W47" s="273"/>
      <c r="X47" s="282">
        <f t="shared" si="13"/>
        <v>826</v>
      </c>
      <c r="Y47" s="279" t="s">
        <v>576</v>
      </c>
      <c r="Z47" s="129">
        <f t="shared" si="9"/>
        <v>14.66</v>
      </c>
    </row>
    <row r="48" spans="1:26">
      <c r="A48" s="9">
        <v>45</v>
      </c>
      <c r="B48" s="1" t="s">
        <v>533</v>
      </c>
      <c r="C48" s="1" t="s">
        <v>534</v>
      </c>
      <c r="D48" s="135"/>
      <c r="E48" s="1">
        <f t="shared" si="4"/>
        <v>10</v>
      </c>
      <c r="F48" s="1">
        <f t="shared" si="4"/>
        <v>32</v>
      </c>
      <c r="G48" s="105"/>
      <c r="H48" s="1">
        <f t="shared" si="5"/>
        <v>1</v>
      </c>
      <c r="I48" s="1">
        <f t="shared" si="5"/>
        <v>26</v>
      </c>
      <c r="K48" s="1">
        <f t="shared" si="10"/>
        <v>0.25</v>
      </c>
      <c r="L48" s="1">
        <f t="shared" si="11"/>
        <v>52</v>
      </c>
      <c r="M48" s="105"/>
      <c r="N48" s="1">
        <f t="shared" si="6"/>
        <v>0.5</v>
      </c>
      <c r="O48" s="12">
        <f t="shared" si="6"/>
        <v>52</v>
      </c>
      <c r="P48" s="135"/>
      <c r="Q48" s="277">
        <f t="shared" si="7"/>
        <v>3.5</v>
      </c>
      <c r="R48" s="155"/>
      <c r="S48" s="128">
        <f t="shared" si="14"/>
        <v>175000</v>
      </c>
      <c r="T48" s="156">
        <f t="shared" si="14"/>
        <v>675000</v>
      </c>
      <c r="U48" s="128"/>
      <c r="V48" s="273">
        <f t="shared" si="12"/>
        <v>231</v>
      </c>
      <c r="W48" s="273"/>
      <c r="X48" s="282">
        <f t="shared" si="13"/>
        <v>826</v>
      </c>
      <c r="Y48" s="279" t="s">
        <v>576</v>
      </c>
      <c r="Z48" s="129">
        <f t="shared" si="9"/>
        <v>14.66</v>
      </c>
    </row>
    <row r="49" spans="1:26">
      <c r="A49" s="9">
        <v>46</v>
      </c>
      <c r="B49" s="1" t="s">
        <v>538</v>
      </c>
      <c r="C49" s="1" t="s">
        <v>539</v>
      </c>
      <c r="D49" s="135"/>
      <c r="E49" s="1">
        <f t="shared" si="4"/>
        <v>10</v>
      </c>
      <c r="F49" s="1">
        <f t="shared" si="4"/>
        <v>32</v>
      </c>
      <c r="G49" s="105"/>
      <c r="H49" s="1">
        <f t="shared" si="5"/>
        <v>1</v>
      </c>
      <c r="I49" s="1">
        <f t="shared" si="5"/>
        <v>26</v>
      </c>
      <c r="K49" s="1">
        <f t="shared" si="10"/>
        <v>0.25</v>
      </c>
      <c r="L49" s="1">
        <f t="shared" si="11"/>
        <v>52</v>
      </c>
      <c r="M49" s="105"/>
      <c r="N49" s="1">
        <f t="shared" si="6"/>
        <v>0.5</v>
      </c>
      <c r="O49" s="12">
        <f t="shared" si="6"/>
        <v>52</v>
      </c>
      <c r="P49" s="135"/>
      <c r="Q49" s="277">
        <f t="shared" si="7"/>
        <v>3.5</v>
      </c>
      <c r="R49" s="155"/>
      <c r="S49" s="128">
        <f t="shared" si="14"/>
        <v>175000</v>
      </c>
      <c r="T49" s="156">
        <f t="shared" si="14"/>
        <v>675000</v>
      </c>
      <c r="U49" s="128"/>
      <c r="V49" s="273">
        <f t="shared" si="12"/>
        <v>231</v>
      </c>
      <c r="W49" s="273"/>
      <c r="X49" s="282">
        <f t="shared" si="13"/>
        <v>826</v>
      </c>
      <c r="Y49" s="279" t="s">
        <v>576</v>
      </c>
      <c r="Z49" s="129">
        <f t="shared" si="9"/>
        <v>14.66</v>
      </c>
    </row>
    <row r="50" spans="1:26">
      <c r="A50" s="9">
        <v>47</v>
      </c>
      <c r="B50" s="1" t="s">
        <v>543</v>
      </c>
      <c r="C50" s="1" t="s">
        <v>544</v>
      </c>
      <c r="D50" s="135"/>
      <c r="E50" s="1">
        <f t="shared" si="4"/>
        <v>10</v>
      </c>
      <c r="F50" s="1">
        <f t="shared" si="4"/>
        <v>32</v>
      </c>
      <c r="G50" s="105"/>
      <c r="H50" s="1">
        <f t="shared" si="5"/>
        <v>1</v>
      </c>
      <c r="I50" s="1">
        <f t="shared" si="5"/>
        <v>26</v>
      </c>
      <c r="K50" s="1">
        <f t="shared" si="10"/>
        <v>0.25</v>
      </c>
      <c r="L50" s="1">
        <f t="shared" si="11"/>
        <v>52</v>
      </c>
      <c r="M50" s="105"/>
      <c r="N50" s="1">
        <f t="shared" si="6"/>
        <v>0.5</v>
      </c>
      <c r="O50" s="12">
        <f t="shared" si="6"/>
        <v>52</v>
      </c>
      <c r="P50" s="135"/>
      <c r="Q50" s="277">
        <f t="shared" si="7"/>
        <v>3.5</v>
      </c>
      <c r="R50" s="155"/>
      <c r="S50" s="128">
        <f t="shared" si="14"/>
        <v>175000</v>
      </c>
      <c r="T50" s="156">
        <f t="shared" si="14"/>
        <v>675000</v>
      </c>
      <c r="U50" s="128"/>
      <c r="V50" s="273">
        <f t="shared" si="12"/>
        <v>231</v>
      </c>
      <c r="W50" s="273"/>
      <c r="X50" s="282">
        <f t="shared" si="13"/>
        <v>826</v>
      </c>
      <c r="Y50" s="279" t="s">
        <v>576</v>
      </c>
      <c r="Z50" s="129">
        <f t="shared" si="9"/>
        <v>14.66</v>
      </c>
    </row>
    <row r="51" spans="1:26">
      <c r="A51" s="9">
        <v>48</v>
      </c>
      <c r="B51" s="1" t="s">
        <v>548</v>
      </c>
      <c r="C51" s="1" t="s">
        <v>549</v>
      </c>
      <c r="D51" s="135"/>
      <c r="E51" s="1">
        <f t="shared" si="4"/>
        <v>10</v>
      </c>
      <c r="F51" s="1">
        <f t="shared" si="4"/>
        <v>32</v>
      </c>
      <c r="G51" s="105"/>
      <c r="H51" s="1">
        <f t="shared" si="5"/>
        <v>1</v>
      </c>
      <c r="I51" s="1">
        <f t="shared" si="5"/>
        <v>26</v>
      </c>
      <c r="K51" s="1">
        <f t="shared" si="10"/>
        <v>0.25</v>
      </c>
      <c r="L51" s="1">
        <f t="shared" si="11"/>
        <v>52</v>
      </c>
      <c r="M51" s="105"/>
      <c r="N51" s="1">
        <f t="shared" si="6"/>
        <v>0.5</v>
      </c>
      <c r="O51" s="12">
        <f t="shared" si="6"/>
        <v>52</v>
      </c>
      <c r="P51" s="135"/>
      <c r="Q51" s="277">
        <f t="shared" si="7"/>
        <v>3.5</v>
      </c>
      <c r="R51" s="155"/>
      <c r="S51" s="128">
        <f t="shared" si="14"/>
        <v>175000</v>
      </c>
      <c r="T51" s="156">
        <f t="shared" si="14"/>
        <v>675000</v>
      </c>
      <c r="U51" s="128"/>
      <c r="V51" s="273">
        <f t="shared" si="12"/>
        <v>231</v>
      </c>
      <c r="W51" s="273"/>
      <c r="X51" s="282">
        <f t="shared" si="13"/>
        <v>826</v>
      </c>
      <c r="Y51" s="279" t="s">
        <v>576</v>
      </c>
      <c r="Z51" s="129">
        <f t="shared" si="9"/>
        <v>14.66</v>
      </c>
    </row>
    <row r="52" spans="1:26">
      <c r="A52" s="9">
        <v>49</v>
      </c>
      <c r="B52" s="1" t="s">
        <v>553</v>
      </c>
      <c r="C52" s="1" t="s">
        <v>554</v>
      </c>
      <c r="D52" s="135"/>
      <c r="E52" s="1">
        <f t="shared" si="4"/>
        <v>10</v>
      </c>
      <c r="F52" s="1">
        <f t="shared" si="4"/>
        <v>32</v>
      </c>
      <c r="G52" s="105"/>
      <c r="H52" s="1">
        <f t="shared" si="5"/>
        <v>1</v>
      </c>
      <c r="I52" s="1">
        <f t="shared" si="5"/>
        <v>26</v>
      </c>
      <c r="K52" s="1">
        <f t="shared" si="10"/>
        <v>0.25</v>
      </c>
      <c r="L52" s="1">
        <f t="shared" si="11"/>
        <v>52</v>
      </c>
      <c r="M52" s="105"/>
      <c r="N52" s="1">
        <f t="shared" si="6"/>
        <v>0.5</v>
      </c>
      <c r="O52" s="12">
        <f t="shared" si="6"/>
        <v>52</v>
      </c>
      <c r="P52" s="135"/>
      <c r="Q52" s="277">
        <f t="shared" si="7"/>
        <v>3.5</v>
      </c>
      <c r="R52" s="155"/>
      <c r="S52" s="128">
        <f t="shared" si="14"/>
        <v>175000</v>
      </c>
      <c r="T52" s="156">
        <f t="shared" si="14"/>
        <v>675000</v>
      </c>
      <c r="U52" s="128"/>
      <c r="V52" s="273">
        <f t="shared" si="12"/>
        <v>231</v>
      </c>
      <c r="W52" s="273"/>
      <c r="X52" s="282">
        <f t="shared" si="13"/>
        <v>826</v>
      </c>
      <c r="Y52" s="279" t="s">
        <v>576</v>
      </c>
      <c r="Z52" s="129">
        <f t="shared" si="9"/>
        <v>14.66</v>
      </c>
    </row>
    <row r="53" spans="1:26">
      <c r="A53" s="13">
        <v>50</v>
      </c>
      <c r="B53" s="14" t="s">
        <v>558</v>
      </c>
      <c r="C53" s="14" t="s">
        <v>559</v>
      </c>
      <c r="D53" s="138"/>
      <c r="E53" s="14">
        <f t="shared" si="4"/>
        <v>10</v>
      </c>
      <c r="F53" s="14">
        <f t="shared" si="4"/>
        <v>32</v>
      </c>
      <c r="G53" s="126"/>
      <c r="H53" s="14">
        <f t="shared" si="5"/>
        <v>1</v>
      </c>
      <c r="I53" s="14">
        <f t="shared" si="5"/>
        <v>26</v>
      </c>
      <c r="J53" s="14"/>
      <c r="K53" s="274">
        <f t="shared" si="10"/>
        <v>0.25</v>
      </c>
      <c r="L53" s="274">
        <f t="shared" si="11"/>
        <v>52</v>
      </c>
      <c r="M53" s="126"/>
      <c r="N53" s="14">
        <f t="shared" si="6"/>
        <v>0.5</v>
      </c>
      <c r="O53" s="17">
        <f t="shared" si="6"/>
        <v>52</v>
      </c>
      <c r="P53" s="138"/>
      <c r="Q53" s="278">
        <f t="shared" si="7"/>
        <v>3.5</v>
      </c>
      <c r="R53" s="157"/>
      <c r="S53" s="200">
        <f t="shared" si="14"/>
        <v>175000</v>
      </c>
      <c r="T53" s="224">
        <f t="shared" si="14"/>
        <v>675000</v>
      </c>
      <c r="U53" s="200"/>
      <c r="V53" s="275">
        <f t="shared" si="12"/>
        <v>231</v>
      </c>
      <c r="W53" s="275"/>
      <c r="X53" s="283">
        <f t="shared" si="13"/>
        <v>826</v>
      </c>
      <c r="Y53" s="280" t="s">
        <v>576</v>
      </c>
      <c r="Z53" s="201">
        <f t="shared" si="9"/>
        <v>14.66</v>
      </c>
    </row>
    <row r="54" spans="1:26">
      <c r="A54" s="4"/>
      <c r="B54" s="4"/>
      <c r="C54" s="4"/>
      <c r="D54" s="4"/>
      <c r="E54" s="4"/>
      <c r="F54" s="4"/>
      <c r="G54" s="4"/>
      <c r="H54" s="4"/>
      <c r="I54" s="4"/>
      <c r="J54" s="4"/>
      <c r="K54" s="4"/>
      <c r="L54" s="4"/>
      <c r="M54" s="4"/>
      <c r="N54" s="4"/>
      <c r="O54" s="4"/>
      <c r="R54" s="151"/>
      <c r="S54" s="4"/>
      <c r="T54" s="4"/>
      <c r="U54" s="4"/>
      <c r="V54" s="4"/>
      <c r="W54" s="4"/>
      <c r="X54" s="4"/>
      <c r="Y54" s="4"/>
      <c r="Z54" s="4"/>
    </row>
    <row r="55" spans="1:26">
      <c r="A55" s="4"/>
      <c r="B55" s="4"/>
      <c r="C55" s="4"/>
      <c r="D55" s="4"/>
      <c r="E55" s="4"/>
      <c r="F55" s="4"/>
      <c r="G55" s="4"/>
      <c r="H55" s="4"/>
      <c r="I55" s="4"/>
      <c r="J55" s="4"/>
      <c r="K55" s="4"/>
      <c r="L55" s="4"/>
      <c r="M55" s="4"/>
      <c r="N55" s="4"/>
      <c r="O55" s="4"/>
      <c r="R55" s="151"/>
      <c r="S55" s="4"/>
      <c r="T55" s="4"/>
      <c r="U55" s="4"/>
      <c r="V55" s="4"/>
      <c r="W55" s="4"/>
      <c r="X55" s="4"/>
      <c r="Y55" s="4"/>
      <c r="Z55" s="4"/>
    </row>
    <row r="56" spans="1:26">
      <c r="A56" s="4"/>
      <c r="B56" s="4"/>
      <c r="C56" s="4"/>
      <c r="D56" s="4"/>
      <c r="E56" s="4"/>
      <c r="F56" s="4"/>
      <c r="G56" s="4"/>
      <c r="H56" s="4"/>
      <c r="I56" s="4"/>
      <c r="J56" s="4"/>
      <c r="K56" s="4"/>
      <c r="L56" s="4"/>
      <c r="M56" s="4"/>
      <c r="N56" s="4"/>
      <c r="O56" s="4"/>
      <c r="R56" s="151"/>
      <c r="S56" s="4"/>
      <c r="T56" s="4"/>
      <c r="U56" s="4"/>
      <c r="V56" s="4"/>
      <c r="W56" s="4"/>
      <c r="X56" s="4"/>
      <c r="Y56" s="4"/>
      <c r="Z56" s="4"/>
    </row>
    <row r="57" spans="1:26">
      <c r="A57" s="4"/>
      <c r="B57" s="4"/>
      <c r="C57" s="4"/>
      <c r="D57" s="4"/>
      <c r="E57" s="4"/>
      <c r="F57" s="4"/>
      <c r="G57" s="4"/>
      <c r="H57" s="4"/>
      <c r="I57" s="4"/>
      <c r="J57" s="4"/>
      <c r="K57" s="4"/>
      <c r="L57" s="4"/>
      <c r="M57" s="4"/>
      <c r="N57" s="4"/>
      <c r="O57" s="4"/>
      <c r="R57" s="151"/>
      <c r="S57" s="4"/>
      <c r="T57" s="4"/>
      <c r="U57" s="4"/>
      <c r="V57" s="4"/>
      <c r="W57" s="4"/>
      <c r="X57" s="4"/>
      <c r="Y57" s="4"/>
      <c r="Z57" s="4"/>
    </row>
    <row r="58" spans="1:26">
      <c r="A58" s="4"/>
      <c r="B58" s="4"/>
      <c r="C58" s="4"/>
      <c r="D58" s="4"/>
      <c r="E58" s="4"/>
      <c r="F58" s="4"/>
      <c r="G58" s="4"/>
      <c r="H58" s="4"/>
      <c r="I58" s="4"/>
      <c r="J58" s="4"/>
      <c r="K58" s="4"/>
      <c r="L58" s="4"/>
      <c r="M58" s="4"/>
      <c r="N58" s="4"/>
      <c r="O58" s="4"/>
      <c r="R58" s="151"/>
      <c r="S58" s="4"/>
      <c r="T58" s="4"/>
      <c r="U58" s="4"/>
      <c r="V58" s="4"/>
      <c r="W58" s="4"/>
      <c r="X58" s="4"/>
      <c r="Y58" s="4"/>
      <c r="Z58" s="4"/>
    </row>
    <row r="59" spans="1:26">
      <c r="A59" s="4"/>
      <c r="B59" s="4"/>
      <c r="C59" s="4"/>
      <c r="D59" s="4"/>
      <c r="E59" s="4"/>
      <c r="F59" s="4"/>
      <c r="G59" s="4"/>
      <c r="H59" s="4"/>
      <c r="I59" s="4"/>
      <c r="J59" s="4"/>
      <c r="K59" s="4"/>
      <c r="L59" s="4"/>
      <c r="M59" s="4"/>
      <c r="N59" s="4"/>
      <c r="O59" s="4"/>
      <c r="R59" s="151"/>
      <c r="S59" s="4"/>
      <c r="T59" s="4"/>
      <c r="U59" s="4"/>
      <c r="V59" s="4"/>
      <c r="W59" s="4"/>
      <c r="X59" s="4"/>
      <c r="Y59" s="4"/>
      <c r="Z59" s="4"/>
    </row>
    <row r="60" spans="1:26">
      <c r="A60" s="4"/>
      <c r="B60" s="4"/>
      <c r="C60" s="4"/>
      <c r="D60" s="4"/>
      <c r="E60" s="4"/>
      <c r="F60" s="4"/>
      <c r="G60" s="4"/>
      <c r="H60" s="4"/>
      <c r="I60" s="4"/>
      <c r="J60" s="4"/>
      <c r="K60" s="4"/>
      <c r="L60" s="4"/>
      <c r="M60" s="4"/>
      <c r="N60" s="4"/>
      <c r="O60" s="4"/>
      <c r="R60" s="151"/>
      <c r="S60" s="4"/>
      <c r="T60" s="4"/>
      <c r="U60" s="4"/>
      <c r="V60" s="4"/>
      <c r="W60" s="4"/>
      <c r="X60" s="4"/>
      <c r="Y60" s="4"/>
      <c r="Z60" s="4"/>
    </row>
    <row r="61" spans="1:26">
      <c r="A61" s="4"/>
      <c r="B61" s="4"/>
      <c r="C61" s="4"/>
      <c r="D61" s="4"/>
      <c r="E61" s="4"/>
      <c r="F61" s="4"/>
      <c r="G61" s="4"/>
      <c r="H61" s="4"/>
      <c r="I61" s="4"/>
      <c r="J61" s="4"/>
      <c r="K61" s="4"/>
      <c r="L61" s="4"/>
      <c r="M61" s="4"/>
      <c r="N61" s="4"/>
      <c r="O61" s="4"/>
      <c r="R61" s="151"/>
      <c r="S61" s="4"/>
      <c r="T61" s="4"/>
      <c r="U61" s="4"/>
      <c r="V61" s="4"/>
      <c r="W61" s="4"/>
      <c r="X61" s="4"/>
      <c r="Y61" s="4"/>
      <c r="Z61" s="4"/>
    </row>
    <row r="62" spans="1:26">
      <c r="A62" s="4"/>
      <c r="B62" s="4"/>
      <c r="C62" s="4"/>
      <c r="D62" s="4"/>
      <c r="E62" s="4"/>
      <c r="F62" s="4"/>
      <c r="G62" s="4"/>
      <c r="H62" s="4"/>
      <c r="I62" s="4"/>
      <c r="J62" s="4"/>
      <c r="K62" s="4"/>
      <c r="L62" s="4"/>
      <c r="M62" s="4"/>
      <c r="N62" s="4"/>
      <c r="O62" s="4"/>
      <c r="R62" s="151"/>
      <c r="S62" s="4"/>
      <c r="T62" s="4"/>
      <c r="U62" s="4"/>
      <c r="V62" s="4"/>
      <c r="W62" s="4"/>
      <c r="X62" s="4"/>
      <c r="Y62" s="4"/>
      <c r="Z62" s="4"/>
    </row>
    <row r="63" spans="1:26">
      <c r="A63" s="4"/>
      <c r="B63" s="4"/>
      <c r="C63" s="4"/>
      <c r="D63" s="4"/>
      <c r="E63" s="4"/>
      <c r="F63" s="4"/>
      <c r="G63" s="4"/>
      <c r="H63" s="4"/>
      <c r="I63" s="4"/>
      <c r="J63" s="4"/>
      <c r="K63" s="4"/>
      <c r="L63" s="4"/>
      <c r="M63" s="4"/>
      <c r="N63" s="4"/>
      <c r="O63" s="4"/>
      <c r="R63" s="151"/>
      <c r="S63" s="4"/>
      <c r="T63" s="4"/>
      <c r="U63" s="4"/>
      <c r="V63" s="4"/>
      <c r="W63" s="4"/>
      <c r="X63" s="4"/>
      <c r="Y63" s="4"/>
      <c r="Z63" s="4"/>
    </row>
    <row r="64" spans="1:26">
      <c r="A64" s="4"/>
      <c r="B64" s="4"/>
      <c r="C64" s="4"/>
      <c r="D64" s="4"/>
      <c r="E64" s="4"/>
      <c r="F64" s="4"/>
      <c r="G64" s="4"/>
      <c r="H64" s="4"/>
      <c r="I64" s="4"/>
      <c r="J64" s="4"/>
      <c r="K64" s="4"/>
      <c r="L64" s="4"/>
      <c r="M64" s="4"/>
      <c r="N64" s="4"/>
      <c r="O64" s="4"/>
      <c r="R64" s="151"/>
      <c r="S64" s="4"/>
      <c r="T64" s="4"/>
      <c r="U64" s="4"/>
      <c r="V64" s="4"/>
      <c r="W64" s="4"/>
      <c r="X64" s="4"/>
      <c r="Y64" s="4"/>
      <c r="Z64" s="4"/>
    </row>
    <row r="65" spans="1:26">
      <c r="A65" s="4"/>
      <c r="B65" s="4"/>
      <c r="C65" s="4"/>
      <c r="D65" s="4"/>
      <c r="E65" s="4"/>
      <c r="F65" s="4"/>
      <c r="G65" s="4"/>
      <c r="H65" s="4"/>
      <c r="I65" s="4"/>
      <c r="J65" s="4"/>
      <c r="K65" s="4"/>
      <c r="L65" s="4"/>
      <c r="M65" s="4"/>
      <c r="N65" s="4"/>
      <c r="O65" s="4"/>
      <c r="R65" s="151"/>
      <c r="S65" s="4"/>
      <c r="T65" s="4"/>
      <c r="U65" s="4"/>
      <c r="V65" s="4"/>
      <c r="W65" s="4"/>
      <c r="X65" s="4"/>
      <c r="Y65" s="4"/>
      <c r="Z65" s="4"/>
    </row>
    <row r="66" spans="1:26">
      <c r="A66" s="4"/>
      <c r="B66" s="4"/>
      <c r="C66" s="4"/>
      <c r="D66" s="4"/>
      <c r="E66" s="4"/>
      <c r="F66" s="4"/>
      <c r="G66" s="4"/>
      <c r="H66" s="4"/>
      <c r="I66" s="4"/>
      <c r="J66" s="4"/>
      <c r="K66" s="4"/>
      <c r="L66" s="4"/>
      <c r="M66" s="4"/>
      <c r="N66" s="4"/>
      <c r="O66" s="4"/>
      <c r="R66" s="151"/>
      <c r="S66" s="4"/>
      <c r="T66" s="4"/>
      <c r="U66" s="4"/>
      <c r="V66" s="4"/>
      <c r="W66" s="4"/>
      <c r="X66" s="4"/>
      <c r="Y66" s="4"/>
      <c r="Z66" s="4"/>
    </row>
    <row r="67" spans="1:26">
      <c r="A67" s="4"/>
      <c r="B67" s="4"/>
      <c r="C67" s="4"/>
      <c r="D67" s="4"/>
      <c r="E67" s="4"/>
      <c r="F67" s="4"/>
      <c r="G67" s="4"/>
      <c r="H67" s="4"/>
      <c r="I67" s="4"/>
      <c r="J67" s="4"/>
      <c r="K67" s="4"/>
      <c r="L67" s="4"/>
      <c r="M67" s="4"/>
      <c r="N67" s="4"/>
      <c r="O67" s="4"/>
      <c r="R67" s="151"/>
      <c r="S67" s="4"/>
      <c r="T67" s="4"/>
      <c r="U67" s="4"/>
      <c r="V67" s="4"/>
      <c r="W67" s="4"/>
      <c r="X67" s="4"/>
      <c r="Y67" s="4"/>
      <c r="Z67" s="4"/>
    </row>
    <row r="68" spans="1:26">
      <c r="A68" s="4"/>
      <c r="B68" s="4"/>
      <c r="C68" s="4"/>
      <c r="D68" s="4"/>
      <c r="E68" s="4"/>
      <c r="F68" s="4"/>
      <c r="G68" s="4"/>
      <c r="H68" s="4"/>
      <c r="I68" s="4"/>
      <c r="J68" s="4"/>
      <c r="K68" s="4"/>
      <c r="L68" s="4"/>
      <c r="M68" s="4"/>
      <c r="N68" s="4"/>
      <c r="O68" s="4"/>
      <c r="R68" s="151"/>
      <c r="S68" s="4"/>
      <c r="T68" s="4"/>
      <c r="U68" s="4"/>
      <c r="V68" s="4"/>
      <c r="W68" s="4"/>
      <c r="X68" s="4"/>
      <c r="Y68" s="4"/>
      <c r="Z68" s="4"/>
    </row>
    <row r="69" spans="1:26">
      <c r="A69" s="4"/>
      <c r="B69" s="4"/>
      <c r="C69" s="4"/>
      <c r="D69" s="4"/>
      <c r="E69" s="4"/>
      <c r="F69" s="4"/>
      <c r="G69" s="4"/>
      <c r="H69" s="4"/>
      <c r="I69" s="4"/>
      <c r="J69" s="4"/>
      <c r="K69" s="4"/>
      <c r="L69" s="4"/>
      <c r="M69" s="4"/>
      <c r="N69" s="4"/>
      <c r="O69" s="4"/>
      <c r="R69" s="151"/>
      <c r="S69" s="4"/>
      <c r="T69" s="4"/>
      <c r="U69" s="4"/>
      <c r="V69" s="4"/>
      <c r="W69" s="4"/>
      <c r="X69" s="4"/>
      <c r="Y69" s="4"/>
      <c r="Z69" s="4"/>
    </row>
    <row r="70" spans="1:26">
      <c r="A70" s="4"/>
      <c r="B70" s="4"/>
      <c r="C70" s="4"/>
      <c r="D70" s="4"/>
      <c r="E70" s="4"/>
      <c r="F70" s="4"/>
      <c r="G70" s="4"/>
      <c r="H70" s="4"/>
      <c r="I70" s="4"/>
      <c r="J70" s="4"/>
      <c r="K70" s="4"/>
      <c r="L70" s="4"/>
      <c r="M70" s="4"/>
      <c r="N70" s="4"/>
      <c r="O70" s="4"/>
      <c r="R70" s="151"/>
      <c r="S70" s="4"/>
      <c r="T70" s="4"/>
      <c r="U70" s="4"/>
      <c r="V70" s="4"/>
      <c r="W70" s="4"/>
      <c r="X70" s="4"/>
      <c r="Y70" s="4"/>
      <c r="Z70" s="4"/>
    </row>
    <row r="71" spans="1:26">
      <c r="A71" s="4"/>
      <c r="B71" s="4"/>
      <c r="C71" s="4"/>
      <c r="D71" s="4"/>
      <c r="E71" s="4"/>
      <c r="F71" s="4"/>
      <c r="G71" s="4"/>
      <c r="H71" s="4"/>
      <c r="I71" s="4"/>
      <c r="J71" s="4"/>
      <c r="K71" s="4"/>
      <c r="L71" s="4"/>
      <c r="M71" s="4"/>
      <c r="N71" s="4"/>
      <c r="O71" s="4"/>
      <c r="R71" s="151"/>
      <c r="S71" s="4"/>
      <c r="T71" s="4"/>
      <c r="U71" s="4"/>
      <c r="V71" s="4"/>
      <c r="W71" s="4"/>
      <c r="X71" s="4"/>
      <c r="Y71" s="4"/>
      <c r="Z71" s="4"/>
    </row>
    <row r="72" spans="1:26">
      <c r="A72" s="4"/>
      <c r="B72" s="4"/>
      <c r="C72" s="4"/>
      <c r="D72" s="4"/>
      <c r="E72" s="4"/>
      <c r="F72" s="4"/>
      <c r="G72" s="4"/>
      <c r="H72" s="4"/>
      <c r="I72" s="4"/>
      <c r="J72" s="4"/>
      <c r="K72" s="4"/>
      <c r="L72" s="4"/>
      <c r="M72" s="4"/>
      <c r="N72" s="4"/>
      <c r="O72" s="4"/>
      <c r="R72" s="151"/>
      <c r="S72" s="4"/>
      <c r="T72" s="4"/>
      <c r="U72" s="4"/>
      <c r="V72" s="4"/>
      <c r="W72" s="4"/>
      <c r="X72" s="4"/>
      <c r="Y72" s="4"/>
      <c r="Z72" s="4"/>
    </row>
    <row r="73" spans="1:26">
      <c r="A73" s="4"/>
      <c r="B73" s="4"/>
      <c r="C73" s="4"/>
      <c r="D73" s="4"/>
      <c r="E73" s="4"/>
      <c r="F73" s="4"/>
      <c r="G73" s="4"/>
      <c r="H73" s="4"/>
      <c r="I73" s="4"/>
      <c r="J73" s="4"/>
      <c r="K73" s="4"/>
      <c r="L73" s="4"/>
      <c r="M73" s="4"/>
      <c r="N73" s="4"/>
      <c r="O73" s="4"/>
      <c r="R73" s="151"/>
      <c r="S73" s="4"/>
      <c r="T73" s="4"/>
      <c r="U73" s="4"/>
      <c r="V73" s="4"/>
      <c r="W73" s="4"/>
      <c r="X73" s="4"/>
      <c r="Y73" s="4"/>
      <c r="Z73" s="4"/>
    </row>
    <row r="74" spans="1:26">
      <c r="A74" s="4"/>
      <c r="B74" s="4"/>
      <c r="C74" s="4"/>
      <c r="D74" s="4"/>
      <c r="E74" s="4"/>
      <c r="F74" s="4"/>
      <c r="G74" s="4"/>
      <c r="H74" s="4"/>
      <c r="I74" s="4"/>
      <c r="J74" s="4"/>
      <c r="K74" s="4"/>
      <c r="L74" s="4"/>
      <c r="M74" s="4"/>
      <c r="N74" s="4"/>
      <c r="O74" s="4"/>
      <c r="R74" s="151"/>
      <c r="S74" s="4"/>
      <c r="T74" s="4"/>
      <c r="U74" s="4"/>
      <c r="V74" s="4"/>
      <c r="W74" s="4"/>
      <c r="X74" s="4"/>
      <c r="Y74" s="4"/>
      <c r="Z74" s="4"/>
    </row>
    <row r="75" spans="1:26">
      <c r="A75" s="4"/>
      <c r="B75" s="4"/>
      <c r="C75" s="4"/>
      <c r="D75" s="4"/>
      <c r="E75" s="4"/>
      <c r="F75" s="4"/>
      <c r="G75" s="4"/>
      <c r="H75" s="4"/>
      <c r="I75" s="4"/>
      <c r="J75" s="4"/>
      <c r="K75" s="4"/>
      <c r="L75" s="4"/>
      <c r="M75" s="4"/>
      <c r="N75" s="4"/>
      <c r="O75" s="4"/>
      <c r="R75" s="151"/>
      <c r="S75" s="4"/>
      <c r="T75" s="4"/>
      <c r="U75" s="4"/>
      <c r="V75" s="4"/>
      <c r="W75" s="4"/>
      <c r="X75" s="4"/>
      <c r="Y75" s="4"/>
      <c r="Z75" s="4"/>
    </row>
    <row r="76" spans="1:26">
      <c r="A76" s="4"/>
      <c r="B76" s="4"/>
      <c r="C76" s="4"/>
      <c r="D76" s="4"/>
      <c r="E76" s="4"/>
      <c r="F76" s="4"/>
      <c r="G76" s="4"/>
      <c r="H76" s="4"/>
      <c r="I76" s="4"/>
      <c r="J76" s="4"/>
      <c r="K76" s="4"/>
      <c r="L76" s="4"/>
      <c r="M76" s="4"/>
      <c r="N76" s="4"/>
      <c r="O76" s="4"/>
      <c r="R76" s="151"/>
      <c r="S76" s="4"/>
      <c r="T76" s="4"/>
      <c r="U76" s="4"/>
      <c r="V76" s="4"/>
      <c r="W76" s="4"/>
      <c r="X76" s="4"/>
      <c r="Y76" s="4"/>
      <c r="Z76" s="4"/>
    </row>
    <row r="77" spans="1:26">
      <c r="A77" s="4"/>
      <c r="B77" s="4"/>
      <c r="C77" s="4"/>
      <c r="D77" s="4"/>
      <c r="E77" s="4"/>
      <c r="F77" s="4"/>
      <c r="G77" s="4"/>
      <c r="H77" s="4"/>
      <c r="I77" s="4"/>
      <c r="J77" s="4"/>
      <c r="K77" s="4"/>
      <c r="L77" s="4"/>
      <c r="M77" s="4"/>
      <c r="N77" s="4"/>
      <c r="O77" s="4"/>
      <c r="R77" s="151"/>
      <c r="S77" s="4"/>
      <c r="T77" s="4"/>
      <c r="U77" s="4"/>
      <c r="V77" s="4"/>
      <c r="W77" s="4"/>
      <c r="X77" s="4"/>
      <c r="Y77" s="4"/>
      <c r="Z77" s="4"/>
    </row>
    <row r="78" spans="1:26">
      <c r="A78" s="4"/>
      <c r="B78" s="4"/>
      <c r="C78" s="4"/>
      <c r="D78" s="4"/>
      <c r="E78" s="4"/>
      <c r="F78" s="4"/>
      <c r="G78" s="4"/>
      <c r="H78" s="4"/>
      <c r="I78" s="4"/>
      <c r="J78" s="4"/>
      <c r="K78" s="4"/>
      <c r="L78" s="4"/>
      <c r="M78" s="4"/>
      <c r="N78" s="4"/>
      <c r="O78" s="4"/>
      <c r="R78" s="151"/>
      <c r="S78" s="4"/>
      <c r="T78" s="4"/>
      <c r="U78" s="4"/>
      <c r="V78" s="4"/>
      <c r="W78" s="4"/>
      <c r="X78" s="4"/>
      <c r="Y78" s="4"/>
      <c r="Z78" s="4"/>
    </row>
    <row r="79" spans="1:26">
      <c r="A79" s="4"/>
      <c r="B79" s="4"/>
      <c r="C79" s="4"/>
      <c r="D79" s="4"/>
      <c r="E79" s="4"/>
      <c r="F79" s="4"/>
      <c r="G79" s="4"/>
      <c r="H79" s="4"/>
      <c r="I79" s="4"/>
      <c r="J79" s="4"/>
      <c r="K79" s="4"/>
      <c r="L79" s="4"/>
      <c r="M79" s="4"/>
      <c r="N79" s="4"/>
      <c r="O79" s="4"/>
      <c r="R79" s="151"/>
      <c r="S79" s="4"/>
      <c r="T79" s="4"/>
      <c r="U79" s="4"/>
      <c r="V79" s="4"/>
      <c r="W79" s="4"/>
      <c r="X79" s="4"/>
      <c r="Y79" s="4"/>
      <c r="Z79" s="4"/>
    </row>
    <row r="80" spans="1:26">
      <c r="A80" s="4"/>
      <c r="B80" s="4"/>
      <c r="C80" s="4"/>
      <c r="D80" s="4"/>
      <c r="E80" s="4"/>
      <c r="F80" s="4"/>
      <c r="G80" s="4"/>
      <c r="H80" s="4"/>
      <c r="I80" s="4"/>
      <c r="J80" s="4"/>
      <c r="K80" s="4"/>
      <c r="L80" s="4"/>
      <c r="M80" s="4"/>
      <c r="N80" s="4"/>
      <c r="O80" s="4"/>
      <c r="R80" s="151"/>
      <c r="S80" s="4"/>
      <c r="T80" s="4"/>
      <c r="U80" s="4"/>
      <c r="V80" s="4"/>
      <c r="W80" s="4"/>
      <c r="X80" s="4"/>
      <c r="Y80" s="4"/>
      <c r="Z80" s="4"/>
    </row>
    <row r="81" spans="1:26">
      <c r="A81" s="4"/>
      <c r="B81" s="4"/>
      <c r="C81" s="4"/>
      <c r="D81" s="4"/>
      <c r="E81" s="4"/>
      <c r="F81" s="4"/>
      <c r="G81" s="4"/>
      <c r="H81" s="4"/>
      <c r="I81" s="4"/>
      <c r="J81" s="4"/>
      <c r="K81" s="4"/>
      <c r="L81" s="4"/>
      <c r="M81" s="4"/>
      <c r="N81" s="4"/>
      <c r="O81" s="4"/>
      <c r="R81" s="151"/>
      <c r="S81" s="4"/>
      <c r="T81" s="4"/>
      <c r="U81" s="4"/>
      <c r="V81" s="4"/>
      <c r="W81" s="4"/>
      <c r="X81" s="4"/>
      <c r="Y81" s="4"/>
      <c r="Z81" s="4"/>
    </row>
    <row r="82" spans="1:26">
      <c r="A82" s="4"/>
      <c r="B82" s="4"/>
      <c r="C82" s="4"/>
      <c r="D82" s="4"/>
      <c r="E82" s="4"/>
      <c r="F82" s="4"/>
      <c r="G82" s="4"/>
      <c r="H82" s="4"/>
      <c r="I82" s="4"/>
      <c r="J82" s="4"/>
      <c r="K82" s="4"/>
      <c r="L82" s="4"/>
      <c r="M82" s="4"/>
      <c r="N82" s="4"/>
      <c r="O82" s="4"/>
      <c r="R82" s="151"/>
      <c r="S82" s="4"/>
      <c r="T82" s="4"/>
      <c r="U82" s="4"/>
      <c r="V82" s="4"/>
      <c r="W82" s="4"/>
      <c r="X82" s="4"/>
      <c r="Y82" s="4"/>
      <c r="Z82" s="4"/>
    </row>
    <row r="83" spans="1:26">
      <c r="A83" s="4"/>
      <c r="B83" s="4"/>
      <c r="C83" s="4"/>
      <c r="D83" s="4"/>
      <c r="E83" s="4"/>
      <c r="F83" s="4"/>
      <c r="G83" s="4"/>
      <c r="H83" s="4"/>
      <c r="I83" s="4"/>
      <c r="J83" s="4"/>
      <c r="K83" s="4"/>
      <c r="L83" s="4"/>
      <c r="M83" s="4"/>
      <c r="N83" s="4"/>
      <c r="O83" s="4"/>
      <c r="R83" s="151"/>
      <c r="S83" s="4"/>
      <c r="T83" s="4"/>
      <c r="U83" s="4"/>
      <c r="V83" s="4"/>
      <c r="W83" s="4"/>
      <c r="X83" s="4"/>
      <c r="Y83" s="4"/>
      <c r="Z83" s="4"/>
    </row>
    <row r="84" spans="1:26">
      <c r="A84" s="4"/>
      <c r="B84" s="4"/>
      <c r="C84" s="4"/>
      <c r="D84" s="4"/>
      <c r="E84" s="4"/>
      <c r="F84" s="4"/>
      <c r="G84" s="4"/>
      <c r="H84" s="4"/>
      <c r="I84" s="4"/>
      <c r="J84" s="4"/>
      <c r="K84" s="4"/>
      <c r="L84" s="4"/>
      <c r="M84" s="4"/>
      <c r="N84" s="4"/>
      <c r="O84" s="4"/>
      <c r="R84" s="151"/>
      <c r="S84" s="4"/>
      <c r="T84" s="4"/>
      <c r="U84" s="4"/>
      <c r="V84" s="4"/>
      <c r="W84" s="4"/>
      <c r="X84" s="4"/>
      <c r="Y84" s="4"/>
      <c r="Z84" s="4"/>
    </row>
    <row r="85" spans="1:26">
      <c r="A85" s="4"/>
      <c r="B85" s="4"/>
      <c r="C85" s="4"/>
      <c r="D85" s="4"/>
      <c r="E85" s="4"/>
      <c r="F85" s="4"/>
      <c r="G85" s="4"/>
      <c r="H85" s="4"/>
      <c r="I85" s="4"/>
      <c r="J85" s="4"/>
      <c r="K85" s="4"/>
      <c r="L85" s="4"/>
      <c r="M85" s="4"/>
      <c r="N85" s="4"/>
      <c r="O85" s="4"/>
      <c r="R85" s="151"/>
      <c r="S85" s="4"/>
      <c r="T85" s="4"/>
      <c r="U85" s="4"/>
      <c r="V85" s="4"/>
      <c r="W85" s="4"/>
      <c r="X85" s="4"/>
      <c r="Y85" s="4"/>
      <c r="Z85" s="4"/>
    </row>
    <row r="86" spans="1:26">
      <c r="A86" s="4"/>
      <c r="B86" s="4"/>
      <c r="C86" s="4"/>
      <c r="D86" s="4"/>
      <c r="E86" s="4"/>
      <c r="F86" s="4"/>
      <c r="G86" s="4"/>
      <c r="H86" s="4"/>
      <c r="I86" s="4"/>
      <c r="J86" s="4"/>
      <c r="K86" s="4"/>
      <c r="L86" s="4"/>
      <c r="M86" s="4"/>
      <c r="N86" s="4"/>
      <c r="O86" s="4"/>
      <c r="R86" s="151"/>
      <c r="S86" s="4"/>
      <c r="T86" s="4"/>
      <c r="U86" s="4"/>
      <c r="V86" s="4"/>
      <c r="W86" s="4"/>
      <c r="X86" s="4"/>
      <c r="Y86" s="4"/>
      <c r="Z86" s="4"/>
    </row>
    <row r="87" spans="1:26">
      <c r="A87" s="4"/>
      <c r="B87" s="4"/>
      <c r="C87" s="4"/>
      <c r="D87" s="4"/>
      <c r="E87" s="4"/>
      <c r="F87" s="4"/>
      <c r="G87" s="4"/>
      <c r="H87" s="4"/>
      <c r="I87" s="4"/>
      <c r="J87" s="4"/>
      <c r="K87" s="4"/>
      <c r="L87" s="4"/>
      <c r="M87" s="4"/>
      <c r="N87" s="4"/>
      <c r="O87" s="4"/>
      <c r="R87" s="151"/>
      <c r="S87" s="4"/>
      <c r="T87" s="4"/>
      <c r="U87" s="4"/>
      <c r="V87" s="4"/>
      <c r="W87" s="4"/>
      <c r="X87" s="4"/>
      <c r="Y87" s="4"/>
      <c r="Z87" s="4"/>
    </row>
    <row r="88" spans="1:26">
      <c r="A88" s="4"/>
      <c r="B88" s="4"/>
      <c r="C88" s="4"/>
      <c r="D88" s="4"/>
      <c r="E88" s="4"/>
      <c r="F88" s="4"/>
      <c r="G88" s="4"/>
      <c r="H88" s="4"/>
      <c r="I88" s="4"/>
      <c r="J88" s="4"/>
      <c r="K88" s="4"/>
      <c r="L88" s="4"/>
      <c r="M88" s="4"/>
      <c r="N88" s="4"/>
      <c r="O88" s="4"/>
      <c r="R88" s="151"/>
      <c r="S88" s="4"/>
      <c r="T88" s="4"/>
      <c r="U88" s="4"/>
      <c r="V88" s="4"/>
      <c r="W88" s="4"/>
      <c r="X88" s="4"/>
      <c r="Y88" s="4"/>
      <c r="Z88" s="4"/>
    </row>
    <row r="89" spans="1:26">
      <c r="A89" s="4"/>
      <c r="B89" s="4"/>
      <c r="C89" s="4"/>
      <c r="D89" s="4"/>
      <c r="E89" s="4"/>
      <c r="F89" s="4"/>
      <c r="G89" s="4"/>
      <c r="H89" s="4"/>
      <c r="I89" s="4"/>
      <c r="J89" s="4"/>
      <c r="K89" s="4"/>
      <c r="L89" s="4"/>
      <c r="M89" s="4"/>
      <c r="N89" s="4"/>
      <c r="O89" s="4"/>
      <c r="R89" s="151"/>
      <c r="S89" s="4"/>
      <c r="T89" s="4"/>
      <c r="U89" s="4"/>
      <c r="V89" s="4"/>
      <c r="W89" s="4"/>
      <c r="X89" s="4"/>
      <c r="Y89" s="4"/>
      <c r="Z89" s="4"/>
    </row>
    <row r="90" spans="1:26">
      <c r="A90" s="4"/>
      <c r="B90" s="4"/>
      <c r="C90" s="4"/>
      <c r="D90" s="4"/>
      <c r="E90" s="4"/>
      <c r="F90" s="4"/>
      <c r="G90" s="4"/>
      <c r="H90" s="4"/>
      <c r="I90" s="4"/>
      <c r="J90" s="4"/>
      <c r="K90" s="4"/>
      <c r="L90" s="4"/>
      <c r="M90" s="4"/>
      <c r="N90" s="4"/>
      <c r="O90" s="4"/>
      <c r="R90" s="151"/>
      <c r="S90" s="4"/>
      <c r="T90" s="4"/>
      <c r="U90" s="4"/>
      <c r="V90" s="4"/>
      <c r="W90" s="4"/>
      <c r="X90" s="4"/>
      <c r="Y90" s="4"/>
      <c r="Z90" s="4"/>
    </row>
    <row r="91" spans="1:26">
      <c r="A91" s="4"/>
      <c r="B91" s="4"/>
      <c r="C91" s="4"/>
      <c r="D91" s="4"/>
      <c r="E91" s="4"/>
      <c r="F91" s="4"/>
      <c r="G91" s="4"/>
      <c r="H91" s="4"/>
      <c r="I91" s="4"/>
      <c r="J91" s="4"/>
      <c r="K91" s="4"/>
      <c r="L91" s="4"/>
      <c r="M91" s="4"/>
      <c r="N91" s="4"/>
      <c r="O91" s="4"/>
      <c r="R91" s="151"/>
      <c r="S91" s="4"/>
      <c r="T91" s="4"/>
      <c r="U91" s="4"/>
      <c r="V91" s="4"/>
      <c r="W91" s="4"/>
      <c r="X91" s="4"/>
      <c r="Y91" s="4"/>
      <c r="Z91" s="4"/>
    </row>
    <row r="92" spans="1:26">
      <c r="A92" s="4"/>
      <c r="B92" s="4"/>
      <c r="C92" s="4"/>
      <c r="D92" s="4"/>
      <c r="E92" s="4"/>
      <c r="F92" s="4"/>
      <c r="G92" s="4"/>
      <c r="H92" s="4"/>
      <c r="I92" s="4"/>
      <c r="J92" s="4"/>
      <c r="K92" s="4"/>
      <c r="L92" s="4"/>
      <c r="M92" s="4"/>
      <c r="N92" s="4"/>
      <c r="O92" s="4"/>
      <c r="R92" s="151"/>
      <c r="S92" s="4"/>
      <c r="T92" s="4"/>
      <c r="U92" s="4"/>
      <c r="V92" s="4"/>
      <c r="W92" s="4"/>
      <c r="X92" s="4"/>
      <c r="Y92" s="4"/>
      <c r="Z92" s="4"/>
    </row>
    <row r="93" spans="1:26">
      <c r="A93" s="4"/>
      <c r="B93" s="4"/>
      <c r="C93" s="4"/>
      <c r="D93" s="4"/>
      <c r="E93" s="4"/>
      <c r="F93" s="4"/>
      <c r="G93" s="4"/>
      <c r="H93" s="4"/>
      <c r="I93" s="4"/>
      <c r="J93" s="4"/>
      <c r="K93" s="4"/>
      <c r="L93" s="4"/>
      <c r="M93" s="4"/>
      <c r="N93" s="4"/>
      <c r="O93" s="4"/>
      <c r="R93" s="151"/>
      <c r="S93" s="4"/>
      <c r="T93" s="4"/>
      <c r="U93" s="4"/>
      <c r="V93" s="4"/>
      <c r="W93" s="4"/>
      <c r="X93" s="4"/>
      <c r="Y93" s="4"/>
      <c r="Z93" s="4"/>
    </row>
    <row r="94" spans="1:26">
      <c r="A94" s="4"/>
      <c r="B94" s="4"/>
      <c r="C94" s="4"/>
      <c r="D94" s="4"/>
      <c r="E94" s="4"/>
      <c r="F94" s="4"/>
      <c r="G94" s="4"/>
      <c r="H94" s="4"/>
      <c r="I94" s="4"/>
      <c r="J94" s="4"/>
      <c r="K94" s="4"/>
      <c r="L94" s="4"/>
      <c r="M94" s="4"/>
      <c r="N94" s="4"/>
      <c r="O94" s="4"/>
      <c r="R94" s="151"/>
      <c r="S94" s="4"/>
      <c r="T94" s="4"/>
      <c r="U94" s="4"/>
      <c r="V94" s="4"/>
      <c r="W94" s="4"/>
      <c r="X94" s="4"/>
      <c r="Y94" s="4"/>
      <c r="Z94" s="4"/>
    </row>
    <row r="95" spans="1:26">
      <c r="A95" s="4"/>
      <c r="B95" s="4"/>
      <c r="C95" s="4"/>
      <c r="D95" s="4"/>
      <c r="E95" s="4"/>
      <c r="F95" s="4"/>
      <c r="G95" s="4"/>
      <c r="H95" s="4"/>
      <c r="I95" s="4"/>
      <c r="J95" s="4"/>
      <c r="K95" s="4"/>
      <c r="L95" s="4"/>
      <c r="M95" s="4"/>
      <c r="N95" s="4"/>
      <c r="O95" s="4"/>
      <c r="R95" s="151"/>
      <c r="S95" s="4"/>
      <c r="T95" s="4"/>
      <c r="U95" s="4"/>
      <c r="V95" s="4"/>
      <c r="W95" s="4"/>
      <c r="X95" s="4"/>
      <c r="Y95" s="4"/>
      <c r="Z95" s="4"/>
    </row>
    <row r="96" spans="1:26">
      <c r="A96" s="4"/>
      <c r="B96" s="4"/>
      <c r="C96" s="4"/>
      <c r="D96" s="4"/>
      <c r="E96" s="4"/>
      <c r="F96" s="4"/>
      <c r="G96" s="4"/>
      <c r="H96" s="4"/>
      <c r="I96" s="4"/>
      <c r="J96" s="4"/>
      <c r="K96" s="4"/>
      <c r="L96" s="4"/>
      <c r="M96" s="4"/>
      <c r="N96" s="4"/>
      <c r="O96" s="4"/>
      <c r="R96" s="151"/>
      <c r="S96" s="4"/>
      <c r="T96" s="4"/>
      <c r="U96" s="4"/>
      <c r="V96" s="4"/>
      <c r="W96" s="4"/>
      <c r="X96" s="4"/>
      <c r="Y96" s="4"/>
      <c r="Z96" s="4"/>
    </row>
    <row r="97" spans="1:26">
      <c r="A97" s="4"/>
      <c r="B97" s="4"/>
      <c r="C97" s="4"/>
      <c r="D97" s="4"/>
      <c r="E97" s="4"/>
      <c r="F97" s="4"/>
      <c r="G97" s="4"/>
      <c r="H97" s="4"/>
      <c r="I97" s="4"/>
      <c r="J97" s="4"/>
      <c r="K97" s="4"/>
      <c r="L97" s="4"/>
      <c r="M97" s="4"/>
      <c r="N97" s="4"/>
      <c r="O97" s="4"/>
      <c r="R97" s="151"/>
      <c r="S97" s="4"/>
      <c r="T97" s="4"/>
      <c r="U97" s="4"/>
      <c r="V97" s="4"/>
      <c r="W97" s="4"/>
      <c r="X97" s="4"/>
      <c r="Y97" s="4"/>
      <c r="Z97" s="4"/>
    </row>
    <row r="98" spans="1:26">
      <c r="A98" s="4"/>
      <c r="B98" s="4"/>
      <c r="C98" s="4"/>
      <c r="D98" s="4"/>
      <c r="E98" s="4"/>
      <c r="F98" s="4"/>
      <c r="G98" s="4"/>
      <c r="H98" s="4"/>
      <c r="I98" s="4"/>
      <c r="J98" s="4"/>
      <c r="K98" s="4"/>
      <c r="L98" s="4"/>
      <c r="M98" s="4"/>
      <c r="N98" s="4"/>
      <c r="O98" s="4"/>
      <c r="R98" s="151"/>
      <c r="S98" s="4"/>
      <c r="T98" s="4"/>
      <c r="U98" s="4"/>
      <c r="V98" s="4"/>
      <c r="W98" s="4"/>
      <c r="X98" s="4"/>
      <c r="Y98" s="4"/>
      <c r="Z98" s="4"/>
    </row>
    <row r="99" spans="1:26">
      <c r="A99" s="4"/>
      <c r="B99" s="4"/>
      <c r="C99" s="4"/>
      <c r="D99" s="4"/>
      <c r="E99" s="4"/>
      <c r="F99" s="4"/>
      <c r="G99" s="4"/>
      <c r="H99" s="4"/>
      <c r="I99" s="4"/>
      <c r="J99" s="4"/>
      <c r="K99" s="4"/>
      <c r="L99" s="4"/>
      <c r="M99" s="4"/>
      <c r="N99" s="4"/>
      <c r="O99" s="4"/>
      <c r="R99" s="151"/>
      <c r="S99" s="4"/>
      <c r="T99" s="4"/>
      <c r="U99" s="4"/>
      <c r="V99" s="4"/>
      <c r="W99" s="4"/>
      <c r="X99" s="4"/>
      <c r="Y99" s="4"/>
      <c r="Z99" s="4"/>
    </row>
    <row r="100" spans="1:26">
      <c r="A100" s="4"/>
      <c r="B100" s="4"/>
      <c r="C100" s="4"/>
      <c r="D100" s="4"/>
      <c r="E100" s="4"/>
      <c r="F100" s="4"/>
      <c r="G100" s="4"/>
      <c r="H100" s="4"/>
      <c r="I100" s="4"/>
      <c r="J100" s="4"/>
      <c r="K100" s="4"/>
      <c r="L100" s="4"/>
      <c r="M100" s="4"/>
      <c r="N100" s="4"/>
      <c r="O100" s="4"/>
      <c r="R100" s="151"/>
      <c r="S100" s="4"/>
      <c r="T100" s="4"/>
      <c r="U100" s="4"/>
      <c r="V100" s="4"/>
      <c r="W100" s="4"/>
      <c r="X100" s="4"/>
      <c r="Y100" s="4"/>
      <c r="Z100" s="4"/>
    </row>
    <row r="101" spans="1:26">
      <c r="A101" s="4"/>
      <c r="B101" s="4"/>
      <c r="C101" s="4"/>
      <c r="D101" s="4"/>
      <c r="E101" s="4"/>
      <c r="F101" s="4"/>
      <c r="G101" s="4"/>
      <c r="H101" s="4"/>
      <c r="I101" s="4"/>
      <c r="J101" s="4"/>
      <c r="K101" s="4"/>
      <c r="L101" s="4"/>
      <c r="M101" s="4"/>
      <c r="N101" s="4"/>
      <c r="O101" s="4"/>
      <c r="R101" s="151"/>
      <c r="S101" s="4"/>
      <c r="T101" s="4"/>
      <c r="U101" s="4"/>
      <c r="V101" s="4"/>
      <c r="W101" s="4"/>
      <c r="X101" s="4"/>
      <c r="Y101" s="4"/>
      <c r="Z101" s="4"/>
    </row>
    <row r="102" spans="1:26">
      <c r="A102" s="4"/>
      <c r="B102" s="4"/>
      <c r="C102" s="4"/>
      <c r="D102" s="4"/>
      <c r="E102" s="4"/>
      <c r="F102" s="4"/>
      <c r="G102" s="4"/>
      <c r="H102" s="4"/>
      <c r="I102" s="4"/>
      <c r="J102" s="4"/>
      <c r="K102" s="4"/>
      <c r="L102" s="4"/>
      <c r="M102" s="4"/>
      <c r="N102" s="4"/>
      <c r="O102" s="4"/>
      <c r="R102" s="151"/>
      <c r="S102" s="4"/>
      <c r="T102" s="4"/>
      <c r="U102" s="4"/>
      <c r="V102" s="4"/>
      <c r="W102" s="4"/>
      <c r="X102" s="4"/>
      <c r="Y102" s="4"/>
      <c r="Z102" s="4"/>
    </row>
    <row r="103" spans="1:26">
      <c r="A103" s="4"/>
      <c r="B103" s="4"/>
      <c r="C103" s="4"/>
      <c r="D103" s="4"/>
      <c r="E103" s="4"/>
      <c r="F103" s="4"/>
      <c r="G103" s="4"/>
      <c r="H103" s="4"/>
      <c r="I103" s="4"/>
      <c r="J103" s="4"/>
      <c r="K103" s="4"/>
      <c r="L103" s="4"/>
      <c r="M103" s="4"/>
      <c r="N103" s="4"/>
      <c r="O103" s="4"/>
      <c r="R103" s="151"/>
      <c r="S103" s="4"/>
      <c r="T103" s="4"/>
      <c r="U103" s="4"/>
      <c r="V103" s="4"/>
      <c r="W103" s="4"/>
      <c r="X103" s="4"/>
      <c r="Y103" s="4"/>
      <c r="Z103" s="4"/>
    </row>
    <row r="104" spans="1:26">
      <c r="A104" s="4"/>
      <c r="B104" s="4"/>
      <c r="C104" s="4"/>
      <c r="D104" s="4"/>
      <c r="E104" s="4"/>
      <c r="F104" s="4"/>
      <c r="G104" s="4"/>
      <c r="H104" s="4"/>
      <c r="I104" s="4"/>
      <c r="J104" s="4"/>
      <c r="K104" s="4"/>
      <c r="L104" s="4"/>
      <c r="M104" s="4"/>
      <c r="N104" s="4"/>
      <c r="O104" s="4"/>
      <c r="R104" s="151"/>
      <c r="S104" s="4"/>
      <c r="T104" s="4"/>
      <c r="U104" s="4"/>
      <c r="V104" s="4"/>
      <c r="W104" s="4"/>
      <c r="X104" s="4"/>
      <c r="Y104" s="4"/>
      <c r="Z104" s="4"/>
    </row>
    <row r="105" spans="1:26">
      <c r="A105" s="4"/>
      <c r="B105" s="4"/>
      <c r="C105" s="4"/>
      <c r="D105" s="4"/>
      <c r="E105" s="4"/>
      <c r="F105" s="4"/>
      <c r="G105" s="4"/>
      <c r="H105" s="4"/>
      <c r="I105" s="4"/>
      <c r="J105" s="4"/>
      <c r="K105" s="4"/>
      <c r="L105" s="4"/>
      <c r="M105" s="4"/>
      <c r="N105" s="4"/>
      <c r="O105" s="4"/>
      <c r="R105" s="151"/>
      <c r="S105" s="4"/>
      <c r="T105" s="4"/>
      <c r="U105" s="4"/>
      <c r="V105" s="4"/>
      <c r="W105" s="4"/>
      <c r="X105" s="4"/>
      <c r="Y105" s="4"/>
      <c r="Z105" s="4"/>
    </row>
    <row r="106" spans="1:26">
      <c r="A106" s="4"/>
      <c r="B106" s="4"/>
      <c r="C106" s="4"/>
      <c r="D106" s="4"/>
      <c r="E106" s="4"/>
      <c r="F106" s="4"/>
      <c r="G106" s="4"/>
      <c r="H106" s="4"/>
      <c r="I106" s="4"/>
      <c r="J106" s="4"/>
      <c r="K106" s="4"/>
      <c r="L106" s="4"/>
      <c r="M106" s="4"/>
      <c r="N106" s="4"/>
      <c r="O106" s="4"/>
      <c r="R106" s="151"/>
      <c r="S106" s="4"/>
      <c r="T106" s="4"/>
      <c r="U106" s="4"/>
      <c r="V106" s="4"/>
      <c r="W106" s="4"/>
      <c r="X106" s="4"/>
      <c r="Y106" s="4"/>
      <c r="Z106" s="4"/>
    </row>
    <row r="107" spans="1:26">
      <c r="A107" s="4"/>
      <c r="B107" s="4"/>
      <c r="C107" s="4"/>
      <c r="D107" s="4"/>
      <c r="E107" s="4"/>
      <c r="F107" s="4"/>
      <c r="G107" s="4"/>
      <c r="H107" s="4"/>
      <c r="I107" s="4"/>
      <c r="J107" s="4"/>
      <c r="K107" s="4"/>
      <c r="L107" s="4"/>
      <c r="M107" s="4"/>
      <c r="N107" s="4"/>
      <c r="O107" s="4"/>
      <c r="R107" s="151"/>
      <c r="S107" s="4"/>
      <c r="T107" s="4"/>
      <c r="U107" s="4"/>
      <c r="V107" s="4"/>
      <c r="W107" s="4"/>
      <c r="X107" s="4"/>
      <c r="Y107" s="4"/>
      <c r="Z107" s="4"/>
    </row>
    <row r="108" spans="1:26">
      <c r="A108" s="4"/>
      <c r="B108" s="4"/>
      <c r="C108" s="4"/>
      <c r="D108" s="4"/>
      <c r="E108" s="4"/>
      <c r="F108" s="4"/>
      <c r="G108" s="4"/>
      <c r="H108" s="4"/>
      <c r="I108" s="4"/>
      <c r="J108" s="4"/>
      <c r="K108" s="4"/>
      <c r="L108" s="4"/>
      <c r="M108" s="4"/>
      <c r="N108" s="4"/>
      <c r="O108" s="4"/>
      <c r="R108" s="151"/>
      <c r="S108" s="4"/>
      <c r="T108" s="4"/>
      <c r="U108" s="4"/>
      <c r="V108" s="4"/>
      <c r="W108" s="4"/>
      <c r="X108" s="4"/>
      <c r="Y108" s="4"/>
      <c r="Z108" s="4"/>
    </row>
    <row r="109" spans="1:26">
      <c r="A109" s="4"/>
      <c r="B109" s="4"/>
      <c r="C109" s="4"/>
      <c r="D109" s="4"/>
      <c r="E109" s="4"/>
      <c r="F109" s="4"/>
      <c r="G109" s="4"/>
      <c r="H109" s="4"/>
      <c r="I109" s="4"/>
      <c r="J109" s="4"/>
      <c r="K109" s="4"/>
      <c r="L109" s="4"/>
      <c r="M109" s="4"/>
      <c r="N109" s="4"/>
      <c r="O109" s="4"/>
      <c r="R109" s="151"/>
      <c r="S109" s="4"/>
      <c r="T109" s="4"/>
      <c r="U109" s="4"/>
      <c r="V109" s="4"/>
      <c r="W109" s="4"/>
      <c r="X109" s="4"/>
      <c r="Y109" s="4"/>
      <c r="Z109" s="4"/>
    </row>
    <row r="110" spans="1:26">
      <c r="A110" s="4"/>
      <c r="B110" s="4"/>
      <c r="C110" s="4"/>
      <c r="D110" s="4"/>
      <c r="E110" s="4"/>
      <c r="F110" s="4"/>
      <c r="G110" s="4"/>
      <c r="H110" s="4"/>
      <c r="I110" s="4"/>
      <c r="J110" s="4"/>
      <c r="K110" s="4"/>
      <c r="L110" s="4"/>
      <c r="M110" s="4"/>
      <c r="N110" s="4"/>
      <c r="O110" s="4"/>
      <c r="R110" s="151"/>
      <c r="S110" s="4"/>
      <c r="T110" s="4"/>
      <c r="U110" s="4"/>
      <c r="V110" s="4"/>
      <c r="W110" s="4"/>
      <c r="X110" s="4"/>
      <c r="Y110" s="4"/>
      <c r="Z110" s="4"/>
    </row>
    <row r="111" spans="1:26">
      <c r="A111" s="4"/>
      <c r="B111" s="4"/>
      <c r="C111" s="4"/>
      <c r="D111" s="4"/>
      <c r="E111" s="4"/>
      <c r="F111" s="4"/>
      <c r="G111" s="4"/>
      <c r="H111" s="4"/>
      <c r="I111" s="4"/>
      <c r="J111" s="4"/>
      <c r="K111" s="4"/>
      <c r="L111" s="4"/>
      <c r="M111" s="4"/>
      <c r="N111" s="4"/>
      <c r="O111" s="4"/>
      <c r="R111" s="151"/>
      <c r="S111" s="4"/>
      <c r="T111" s="4"/>
      <c r="U111" s="4"/>
      <c r="V111" s="4"/>
      <c r="W111" s="4"/>
      <c r="X111" s="4"/>
      <c r="Y111" s="4"/>
      <c r="Z111" s="4"/>
    </row>
    <row r="112" spans="1:26">
      <c r="A112" s="4"/>
      <c r="B112" s="4"/>
      <c r="C112" s="4"/>
      <c r="D112" s="4"/>
      <c r="E112" s="4"/>
      <c r="F112" s="4"/>
      <c r="G112" s="4"/>
      <c r="H112" s="4"/>
      <c r="I112" s="4"/>
      <c r="J112" s="4"/>
      <c r="K112" s="4"/>
      <c r="L112" s="4"/>
      <c r="M112" s="4"/>
      <c r="N112" s="4"/>
      <c r="O112" s="4"/>
      <c r="R112" s="151"/>
      <c r="S112" s="4"/>
      <c r="T112" s="4"/>
      <c r="U112" s="4"/>
      <c r="V112" s="4"/>
      <c r="W112" s="4"/>
      <c r="X112" s="4"/>
      <c r="Y112" s="4"/>
      <c r="Z112" s="4"/>
    </row>
    <row r="113" spans="1:26">
      <c r="A113" s="4"/>
      <c r="B113" s="4"/>
      <c r="C113" s="4"/>
      <c r="D113" s="4"/>
      <c r="E113" s="4"/>
      <c r="F113" s="4"/>
      <c r="G113" s="4"/>
      <c r="H113" s="4"/>
      <c r="I113" s="4"/>
      <c r="J113" s="4"/>
      <c r="K113" s="4"/>
      <c r="L113" s="4"/>
      <c r="M113" s="4"/>
      <c r="N113" s="4"/>
      <c r="O113" s="4"/>
      <c r="R113" s="151"/>
      <c r="S113" s="4"/>
      <c r="T113" s="4"/>
      <c r="U113" s="4"/>
      <c r="V113" s="4"/>
      <c r="W113" s="4"/>
      <c r="X113" s="4"/>
      <c r="Y113" s="4"/>
      <c r="Z113" s="4"/>
    </row>
    <row r="114" spans="1:26">
      <c r="A114" s="4"/>
      <c r="B114" s="4"/>
      <c r="C114" s="4"/>
      <c r="D114" s="4"/>
      <c r="E114" s="4"/>
      <c r="F114" s="4"/>
      <c r="G114" s="4"/>
      <c r="H114" s="4"/>
      <c r="I114" s="4"/>
      <c r="J114" s="4"/>
      <c r="K114" s="4"/>
      <c r="L114" s="4"/>
      <c r="M114" s="4"/>
      <c r="N114" s="4"/>
      <c r="O114" s="4"/>
      <c r="R114" s="151"/>
      <c r="S114" s="4"/>
      <c r="T114" s="4"/>
      <c r="U114" s="4"/>
      <c r="V114" s="4"/>
      <c r="W114" s="4"/>
      <c r="X114" s="4"/>
      <c r="Y114" s="4"/>
      <c r="Z114" s="4"/>
    </row>
    <row r="115" spans="1:26">
      <c r="A115" s="4"/>
      <c r="B115" s="4"/>
      <c r="C115" s="4"/>
      <c r="D115" s="4"/>
      <c r="E115" s="4"/>
      <c r="F115" s="4"/>
      <c r="G115" s="4"/>
      <c r="H115" s="4"/>
      <c r="I115" s="4"/>
      <c r="J115" s="4"/>
      <c r="K115" s="4"/>
      <c r="L115" s="4"/>
      <c r="M115" s="4"/>
      <c r="N115" s="4"/>
      <c r="O115" s="4"/>
      <c r="R115" s="151"/>
      <c r="S115" s="4"/>
      <c r="T115" s="4"/>
      <c r="U115" s="4"/>
      <c r="V115" s="4"/>
      <c r="W115" s="4"/>
      <c r="X115" s="4"/>
      <c r="Y115" s="4"/>
      <c r="Z115" s="4"/>
    </row>
    <row r="116" spans="1:26">
      <c r="A116" s="4"/>
      <c r="B116" s="4"/>
      <c r="C116" s="4"/>
      <c r="D116" s="4"/>
      <c r="E116" s="4"/>
      <c r="F116" s="4"/>
      <c r="G116" s="4"/>
      <c r="H116" s="4"/>
      <c r="I116" s="4"/>
      <c r="J116" s="4"/>
      <c r="K116" s="4"/>
      <c r="L116" s="4"/>
      <c r="M116" s="4"/>
      <c r="N116" s="4"/>
      <c r="O116" s="4"/>
      <c r="R116" s="151"/>
      <c r="S116" s="4"/>
      <c r="T116" s="4"/>
      <c r="U116" s="4"/>
      <c r="V116" s="4"/>
      <c r="W116" s="4"/>
      <c r="X116" s="4"/>
      <c r="Y116" s="4"/>
      <c r="Z116" s="4"/>
    </row>
    <row r="117" spans="1:26">
      <c r="A117" s="4"/>
      <c r="B117" s="4"/>
      <c r="C117" s="4"/>
      <c r="D117" s="4"/>
      <c r="E117" s="4"/>
      <c r="F117" s="4"/>
      <c r="G117" s="4"/>
      <c r="H117" s="4"/>
      <c r="I117" s="4"/>
      <c r="J117" s="4"/>
      <c r="K117" s="4"/>
      <c r="L117" s="4"/>
      <c r="M117" s="4"/>
      <c r="N117" s="4"/>
      <c r="O117" s="4"/>
      <c r="R117" s="151"/>
      <c r="S117" s="4"/>
      <c r="T117" s="4"/>
      <c r="U117" s="4"/>
      <c r="V117" s="4"/>
      <c r="W117" s="4"/>
      <c r="X117" s="4"/>
      <c r="Y117" s="4"/>
      <c r="Z117" s="4"/>
    </row>
    <row r="118" spans="1:26">
      <c r="A118" s="4"/>
      <c r="B118" s="4"/>
      <c r="C118" s="4"/>
      <c r="D118" s="4"/>
      <c r="E118" s="4"/>
      <c r="F118" s="4"/>
      <c r="G118" s="4"/>
      <c r="H118" s="4"/>
      <c r="I118" s="4"/>
      <c r="J118" s="4"/>
      <c r="K118" s="4"/>
      <c r="L118" s="4"/>
      <c r="M118" s="4"/>
      <c r="N118" s="4"/>
      <c r="O118" s="4"/>
      <c r="R118" s="151"/>
      <c r="S118" s="4"/>
      <c r="T118" s="4"/>
      <c r="U118" s="4"/>
      <c r="V118" s="4"/>
      <c r="W118" s="4"/>
      <c r="X118" s="4"/>
      <c r="Y118" s="4"/>
      <c r="Z118" s="4"/>
    </row>
    <row r="119" spans="1:26">
      <c r="A119" s="4"/>
      <c r="B119" s="4"/>
      <c r="C119" s="4"/>
      <c r="D119" s="4"/>
      <c r="E119" s="4"/>
      <c r="F119" s="4"/>
      <c r="G119" s="4"/>
      <c r="H119" s="4"/>
      <c r="I119" s="4"/>
      <c r="J119" s="4"/>
      <c r="K119" s="4"/>
      <c r="L119" s="4"/>
      <c r="M119" s="4"/>
      <c r="N119" s="4"/>
      <c r="O119" s="4"/>
      <c r="R119" s="151"/>
      <c r="S119" s="4"/>
      <c r="T119" s="4"/>
      <c r="U119" s="4"/>
      <c r="V119" s="4"/>
      <c r="W119" s="4"/>
      <c r="X119" s="4"/>
      <c r="Y119" s="4"/>
      <c r="Z119" s="4"/>
    </row>
    <row r="120" spans="1:26">
      <c r="A120" s="4"/>
      <c r="B120" s="4"/>
      <c r="C120" s="4"/>
      <c r="D120" s="4"/>
      <c r="E120" s="4"/>
      <c r="F120" s="4"/>
      <c r="G120" s="4"/>
      <c r="H120" s="4"/>
      <c r="I120" s="4"/>
      <c r="J120" s="4"/>
      <c r="K120" s="4"/>
      <c r="L120" s="4"/>
      <c r="M120" s="4"/>
      <c r="N120" s="4"/>
      <c r="O120" s="4"/>
      <c r="R120" s="151"/>
      <c r="S120" s="4"/>
      <c r="T120" s="4"/>
      <c r="U120" s="4"/>
      <c r="V120" s="4"/>
      <c r="W120" s="4"/>
      <c r="X120" s="4"/>
      <c r="Y120" s="4"/>
      <c r="Z120" s="4"/>
    </row>
    <row r="121" spans="1:26">
      <c r="A121" s="4"/>
      <c r="B121" s="4"/>
      <c r="C121" s="4"/>
      <c r="D121" s="4"/>
      <c r="E121" s="4"/>
      <c r="F121" s="4"/>
      <c r="G121" s="4"/>
      <c r="H121" s="4"/>
      <c r="I121" s="4"/>
      <c r="J121" s="4"/>
      <c r="K121" s="4"/>
      <c r="L121" s="4"/>
      <c r="M121" s="4"/>
      <c r="N121" s="4"/>
      <c r="O121" s="4"/>
      <c r="R121" s="151"/>
      <c r="S121" s="4"/>
      <c r="T121" s="4"/>
      <c r="U121" s="4"/>
      <c r="V121" s="4"/>
      <c r="W121" s="4"/>
      <c r="X121" s="4"/>
      <c r="Y121" s="4"/>
      <c r="Z121" s="4"/>
    </row>
    <row r="122" spans="1:26">
      <c r="A122" s="4"/>
      <c r="B122" s="4"/>
      <c r="C122" s="4"/>
      <c r="D122" s="4"/>
      <c r="E122" s="4"/>
      <c r="F122" s="4"/>
      <c r="G122" s="4"/>
      <c r="H122" s="4"/>
      <c r="I122" s="4"/>
      <c r="J122" s="4"/>
      <c r="K122" s="4"/>
      <c r="L122" s="4"/>
      <c r="M122" s="4"/>
      <c r="N122" s="4"/>
      <c r="O122" s="4"/>
      <c r="R122" s="151"/>
      <c r="S122" s="4"/>
      <c r="T122" s="4"/>
      <c r="U122" s="4"/>
      <c r="V122" s="4"/>
      <c r="W122" s="4"/>
      <c r="X122" s="4"/>
      <c r="Y122" s="4"/>
      <c r="Z122" s="4"/>
    </row>
    <row r="123" spans="1:26">
      <c r="A123" s="4"/>
      <c r="B123" s="4"/>
      <c r="C123" s="4"/>
      <c r="D123" s="4"/>
      <c r="E123" s="4"/>
      <c r="F123" s="4"/>
      <c r="G123" s="4"/>
      <c r="H123" s="4"/>
      <c r="I123" s="4"/>
      <c r="J123" s="4"/>
      <c r="K123" s="4"/>
      <c r="L123" s="4"/>
      <c r="M123" s="4"/>
      <c r="N123" s="4"/>
      <c r="O123" s="4"/>
      <c r="R123" s="151"/>
      <c r="S123" s="4"/>
      <c r="T123" s="4"/>
      <c r="U123" s="4"/>
      <c r="V123" s="4"/>
      <c r="W123" s="4"/>
      <c r="X123" s="4"/>
      <c r="Y123" s="4"/>
      <c r="Z123" s="4"/>
    </row>
    <row r="124" spans="1:26">
      <c r="A124" s="4"/>
      <c r="B124" s="4"/>
      <c r="C124" s="4"/>
      <c r="D124" s="4"/>
      <c r="E124" s="4"/>
      <c r="F124" s="4"/>
      <c r="G124" s="4"/>
      <c r="H124" s="4"/>
      <c r="I124" s="4"/>
      <c r="J124" s="4"/>
      <c r="K124" s="4"/>
      <c r="L124" s="4"/>
      <c r="M124" s="4"/>
      <c r="N124" s="4"/>
      <c r="O124" s="4"/>
      <c r="R124" s="151"/>
      <c r="S124" s="4"/>
      <c r="T124" s="4"/>
      <c r="U124" s="4"/>
      <c r="V124" s="4"/>
      <c r="W124" s="4"/>
      <c r="X124" s="4"/>
      <c r="Y124" s="4"/>
      <c r="Z124" s="4"/>
    </row>
    <row r="125" spans="1:26">
      <c r="A125" s="4"/>
      <c r="B125" s="4"/>
      <c r="C125" s="4"/>
      <c r="D125" s="4"/>
      <c r="E125" s="4"/>
      <c r="F125" s="4"/>
      <c r="G125" s="4"/>
      <c r="H125" s="4"/>
      <c r="I125" s="4"/>
      <c r="J125" s="4"/>
      <c r="K125" s="4"/>
      <c r="L125" s="4"/>
      <c r="M125" s="4"/>
      <c r="N125" s="4"/>
      <c r="O125" s="4"/>
      <c r="R125" s="151"/>
      <c r="S125" s="4"/>
      <c r="T125" s="4"/>
      <c r="U125" s="4"/>
      <c r="V125" s="4"/>
      <c r="W125" s="4"/>
      <c r="X125" s="4"/>
      <c r="Y125" s="4"/>
      <c r="Z125" s="4"/>
    </row>
    <row r="126" spans="1:26">
      <c r="A126" s="4"/>
      <c r="B126" s="4"/>
      <c r="C126" s="4"/>
      <c r="D126" s="4"/>
      <c r="E126" s="4"/>
      <c r="F126" s="4"/>
      <c r="G126" s="4"/>
      <c r="H126" s="4"/>
      <c r="I126" s="4"/>
      <c r="J126" s="4"/>
      <c r="K126" s="4"/>
      <c r="L126" s="4"/>
      <c r="M126" s="4"/>
      <c r="N126" s="4"/>
      <c r="O126" s="4"/>
      <c r="R126" s="151"/>
      <c r="S126" s="4"/>
      <c r="T126" s="4"/>
      <c r="U126" s="4"/>
      <c r="V126" s="4"/>
      <c r="W126" s="4"/>
      <c r="X126" s="4"/>
      <c r="Y126" s="4"/>
      <c r="Z126" s="4"/>
    </row>
    <row r="127" spans="1:26">
      <c r="A127" s="4"/>
      <c r="B127" s="4"/>
      <c r="C127" s="4"/>
      <c r="D127" s="4"/>
      <c r="E127" s="4"/>
      <c r="F127" s="4"/>
      <c r="G127" s="4"/>
      <c r="H127" s="4"/>
      <c r="I127" s="4"/>
      <c r="J127" s="4"/>
      <c r="K127" s="4"/>
      <c r="L127" s="4"/>
      <c r="M127" s="4"/>
      <c r="N127" s="4"/>
      <c r="O127" s="4"/>
      <c r="R127" s="151"/>
      <c r="S127" s="4"/>
      <c r="T127" s="4"/>
      <c r="U127" s="4"/>
      <c r="V127" s="4"/>
      <c r="W127" s="4"/>
      <c r="X127" s="4"/>
      <c r="Y127" s="4"/>
      <c r="Z127" s="4"/>
    </row>
    <row r="128" spans="1:26">
      <c r="A128" s="4"/>
      <c r="B128" s="4"/>
      <c r="C128" s="4"/>
      <c r="D128" s="4"/>
      <c r="E128" s="4"/>
      <c r="F128" s="4"/>
      <c r="G128" s="4"/>
      <c r="H128" s="4"/>
      <c r="I128" s="4"/>
      <c r="J128" s="4"/>
      <c r="K128" s="4"/>
      <c r="L128" s="4"/>
      <c r="M128" s="4"/>
      <c r="N128" s="4"/>
      <c r="O128" s="4"/>
      <c r="R128" s="151"/>
      <c r="S128" s="4"/>
      <c r="T128" s="4"/>
      <c r="U128" s="4"/>
      <c r="V128" s="4"/>
      <c r="W128" s="4"/>
      <c r="X128" s="4"/>
      <c r="Y128" s="4"/>
      <c r="Z128" s="4"/>
    </row>
    <row r="129" spans="1:26">
      <c r="A129" s="4"/>
      <c r="B129" s="4"/>
      <c r="C129" s="4"/>
      <c r="D129" s="4"/>
      <c r="E129" s="4"/>
      <c r="F129" s="4"/>
      <c r="G129" s="4"/>
      <c r="H129" s="4"/>
      <c r="I129" s="4"/>
      <c r="J129" s="4"/>
      <c r="K129" s="4"/>
      <c r="L129" s="4"/>
      <c r="M129" s="4"/>
      <c r="N129" s="4"/>
      <c r="O129" s="4"/>
      <c r="R129" s="151"/>
      <c r="S129" s="4"/>
      <c r="T129" s="4"/>
      <c r="U129" s="4"/>
      <c r="V129" s="4"/>
      <c r="W129" s="4"/>
      <c r="X129" s="4"/>
      <c r="Y129" s="4"/>
      <c r="Z129" s="4"/>
    </row>
    <row r="130" spans="1:26">
      <c r="A130" s="4"/>
      <c r="B130" s="4"/>
      <c r="C130" s="4"/>
      <c r="D130" s="4"/>
      <c r="E130" s="4"/>
      <c r="F130" s="4"/>
      <c r="G130" s="4"/>
      <c r="H130" s="4"/>
      <c r="I130" s="4"/>
      <c r="J130" s="4"/>
      <c r="K130" s="4"/>
      <c r="L130" s="4"/>
      <c r="M130" s="4"/>
      <c r="N130" s="4"/>
      <c r="O130" s="4"/>
      <c r="R130" s="151"/>
      <c r="S130" s="4"/>
      <c r="T130" s="4"/>
      <c r="U130" s="4"/>
      <c r="V130" s="4"/>
      <c r="W130" s="4"/>
      <c r="X130" s="4"/>
      <c r="Y130" s="4"/>
      <c r="Z130" s="4"/>
    </row>
    <row r="131" spans="1:26">
      <c r="A131" s="4"/>
      <c r="B131" s="4"/>
      <c r="C131" s="4"/>
      <c r="D131" s="4"/>
      <c r="E131" s="4"/>
      <c r="F131" s="4"/>
      <c r="G131" s="4"/>
      <c r="H131" s="4"/>
      <c r="I131" s="4"/>
      <c r="J131" s="4"/>
      <c r="K131" s="4"/>
      <c r="L131" s="4"/>
      <c r="M131" s="4"/>
      <c r="N131" s="4"/>
      <c r="O131" s="4"/>
      <c r="R131" s="151"/>
      <c r="S131" s="4"/>
      <c r="T131" s="4"/>
      <c r="U131" s="4"/>
      <c r="V131" s="4"/>
      <c r="W131" s="4"/>
      <c r="X131" s="4"/>
      <c r="Y131" s="4"/>
      <c r="Z131" s="4"/>
    </row>
    <row r="132" spans="1:26">
      <c r="A132" s="4"/>
      <c r="B132" s="4"/>
      <c r="C132" s="4"/>
      <c r="D132" s="4"/>
      <c r="E132" s="4"/>
      <c r="F132" s="4"/>
      <c r="G132" s="4"/>
      <c r="H132" s="4"/>
      <c r="I132" s="4"/>
      <c r="J132" s="4"/>
      <c r="K132" s="4"/>
      <c r="L132" s="4"/>
      <c r="M132" s="4"/>
      <c r="N132" s="4"/>
      <c r="O132" s="4"/>
      <c r="R132" s="151"/>
      <c r="S132" s="4"/>
      <c r="T132" s="4"/>
      <c r="U132" s="4"/>
      <c r="V132" s="4"/>
      <c r="W132" s="4"/>
      <c r="X132" s="4"/>
      <c r="Y132" s="4"/>
      <c r="Z132" s="4"/>
    </row>
    <row r="133" spans="1:26">
      <c r="A133" s="4"/>
      <c r="B133" s="4"/>
      <c r="C133" s="4"/>
      <c r="D133" s="4"/>
      <c r="E133" s="4"/>
      <c r="F133" s="4"/>
      <c r="G133" s="4"/>
      <c r="H133" s="4"/>
      <c r="I133" s="4"/>
      <c r="J133" s="4"/>
      <c r="K133" s="4"/>
      <c r="L133" s="4"/>
      <c r="M133" s="4"/>
      <c r="N133" s="4"/>
      <c r="O133" s="4"/>
      <c r="R133" s="151"/>
      <c r="S133" s="4"/>
      <c r="T133" s="4"/>
      <c r="U133" s="4"/>
      <c r="V133" s="4"/>
      <c r="W133" s="4"/>
      <c r="X133" s="4"/>
      <c r="Y133" s="4"/>
      <c r="Z133" s="4"/>
    </row>
    <row r="134" spans="1:26">
      <c r="A134" s="4"/>
      <c r="B134" s="4"/>
      <c r="C134" s="4"/>
      <c r="D134" s="4"/>
      <c r="E134" s="4"/>
      <c r="F134" s="4"/>
      <c r="G134" s="4"/>
      <c r="H134" s="4"/>
      <c r="I134" s="4"/>
      <c r="J134" s="4"/>
      <c r="K134" s="4"/>
      <c r="L134" s="4"/>
      <c r="M134" s="4"/>
      <c r="N134" s="4"/>
      <c r="O134" s="4"/>
      <c r="R134" s="151"/>
      <c r="S134" s="4"/>
      <c r="T134" s="4"/>
      <c r="U134" s="4"/>
      <c r="V134" s="4"/>
      <c r="W134" s="4"/>
      <c r="X134" s="4"/>
      <c r="Y134" s="4"/>
      <c r="Z134" s="4"/>
    </row>
    <row r="135" spans="1:26">
      <c r="A135" s="4"/>
      <c r="B135" s="4"/>
      <c r="C135" s="4"/>
      <c r="D135" s="4"/>
      <c r="E135" s="4"/>
      <c r="F135" s="4"/>
      <c r="G135" s="4"/>
      <c r="H135" s="4"/>
      <c r="I135" s="4"/>
      <c r="J135" s="4"/>
      <c r="K135" s="4"/>
      <c r="L135" s="4"/>
      <c r="M135" s="4"/>
      <c r="N135" s="4"/>
      <c r="O135" s="4"/>
      <c r="R135" s="151"/>
      <c r="S135" s="4"/>
      <c r="T135" s="4"/>
      <c r="U135" s="4"/>
      <c r="V135" s="4"/>
      <c r="W135" s="4"/>
      <c r="X135" s="4"/>
      <c r="Y135" s="4"/>
      <c r="Z135" s="4"/>
    </row>
    <row r="136" spans="1:26">
      <c r="A136" s="4"/>
      <c r="B136" s="4"/>
      <c r="C136" s="4"/>
      <c r="D136" s="4"/>
      <c r="E136" s="4"/>
      <c r="F136" s="4"/>
      <c r="G136" s="4"/>
      <c r="H136" s="4"/>
      <c r="I136" s="4"/>
      <c r="J136" s="4"/>
      <c r="K136" s="4"/>
      <c r="L136" s="4"/>
      <c r="M136" s="4"/>
      <c r="N136" s="4"/>
      <c r="O136" s="4"/>
      <c r="R136" s="151"/>
      <c r="S136" s="4"/>
      <c r="T136" s="4"/>
      <c r="U136" s="4"/>
      <c r="V136" s="4"/>
      <c r="W136" s="4"/>
      <c r="X136" s="4"/>
      <c r="Y136" s="4"/>
      <c r="Z136" s="4"/>
    </row>
    <row r="137" spans="1:26">
      <c r="A137" s="4"/>
      <c r="B137" s="4"/>
      <c r="C137" s="4"/>
      <c r="D137" s="4"/>
      <c r="E137" s="4"/>
      <c r="F137" s="4"/>
      <c r="G137" s="4"/>
      <c r="H137" s="4"/>
      <c r="I137" s="4"/>
      <c r="J137" s="4"/>
      <c r="K137" s="4"/>
      <c r="L137" s="4"/>
      <c r="M137" s="4"/>
      <c r="N137" s="4"/>
      <c r="O137" s="4"/>
      <c r="R137" s="151"/>
      <c r="S137" s="4"/>
      <c r="T137" s="4"/>
      <c r="U137" s="4"/>
      <c r="V137" s="4"/>
      <c r="W137" s="4"/>
      <c r="X137" s="4"/>
      <c r="Y137" s="4"/>
      <c r="Z137" s="4"/>
    </row>
    <row r="138" spans="1:26">
      <c r="A138" s="4"/>
      <c r="B138" s="4"/>
      <c r="C138" s="4"/>
      <c r="D138" s="4"/>
      <c r="E138" s="4"/>
      <c r="F138" s="4"/>
      <c r="G138" s="4"/>
      <c r="H138" s="4"/>
      <c r="I138" s="4"/>
      <c r="J138" s="4"/>
      <c r="K138" s="4"/>
      <c r="L138" s="4"/>
      <c r="M138" s="4"/>
      <c r="N138" s="4"/>
      <c r="O138" s="4"/>
      <c r="R138" s="151"/>
      <c r="S138" s="4"/>
      <c r="T138" s="4"/>
      <c r="U138" s="4"/>
      <c r="V138" s="4"/>
      <c r="W138" s="4"/>
      <c r="X138" s="4"/>
      <c r="Y138" s="4"/>
      <c r="Z138" s="4"/>
    </row>
    <row r="139" spans="1:26">
      <c r="A139" s="4"/>
      <c r="B139" s="4"/>
      <c r="C139" s="4"/>
      <c r="D139" s="4"/>
      <c r="E139" s="4"/>
      <c r="F139" s="4"/>
      <c r="G139" s="4"/>
      <c r="H139" s="4"/>
      <c r="I139" s="4"/>
      <c r="J139" s="4"/>
      <c r="K139" s="4"/>
      <c r="L139" s="4"/>
      <c r="M139" s="4"/>
      <c r="N139" s="4"/>
      <c r="O139" s="4"/>
      <c r="R139" s="151"/>
      <c r="S139" s="4"/>
      <c r="T139" s="4"/>
      <c r="U139" s="4"/>
      <c r="V139" s="4"/>
      <c r="W139" s="4"/>
      <c r="X139" s="4"/>
      <c r="Y139" s="4"/>
      <c r="Z139" s="4"/>
    </row>
    <row r="140" spans="1:26">
      <c r="A140" s="4"/>
      <c r="B140" s="4"/>
      <c r="C140" s="4"/>
      <c r="D140" s="4"/>
      <c r="E140" s="4"/>
      <c r="F140" s="4"/>
      <c r="G140" s="4"/>
      <c r="H140" s="4"/>
      <c r="I140" s="4"/>
      <c r="J140" s="4"/>
      <c r="K140" s="4"/>
      <c r="L140" s="4"/>
      <c r="M140" s="4"/>
      <c r="N140" s="4"/>
      <c r="O140" s="4"/>
      <c r="R140" s="151"/>
      <c r="S140" s="4"/>
      <c r="T140" s="4"/>
      <c r="U140" s="4"/>
      <c r="V140" s="4"/>
      <c r="W140" s="4"/>
      <c r="X140" s="4"/>
      <c r="Y140" s="4"/>
      <c r="Z140" s="4"/>
    </row>
    <row r="141" spans="1:26">
      <c r="A141" s="4"/>
      <c r="B141" s="4"/>
      <c r="C141" s="4"/>
      <c r="D141" s="4"/>
      <c r="E141" s="4"/>
      <c r="F141" s="4"/>
      <c r="G141" s="4"/>
      <c r="H141" s="4"/>
      <c r="I141" s="4"/>
      <c r="J141" s="4"/>
      <c r="K141" s="4"/>
      <c r="L141" s="4"/>
      <c r="M141" s="4"/>
      <c r="N141" s="4"/>
      <c r="O141" s="4"/>
      <c r="R141" s="151"/>
      <c r="S141" s="4"/>
      <c r="T141" s="4"/>
      <c r="U141" s="4"/>
      <c r="V141" s="4"/>
      <c r="W141" s="4"/>
      <c r="X141" s="4"/>
      <c r="Y141" s="4"/>
      <c r="Z141" s="4"/>
    </row>
    <row r="142" spans="1:26">
      <c r="A142" s="4"/>
      <c r="B142" s="4"/>
      <c r="C142" s="4"/>
      <c r="D142" s="4"/>
      <c r="E142" s="4"/>
      <c r="F142" s="4"/>
      <c r="G142" s="4"/>
      <c r="H142" s="4"/>
      <c r="I142" s="4"/>
      <c r="J142" s="4"/>
      <c r="K142" s="4"/>
      <c r="L142" s="4"/>
      <c r="M142" s="4"/>
      <c r="N142" s="4"/>
      <c r="O142" s="4"/>
      <c r="R142" s="151"/>
      <c r="S142" s="4"/>
      <c r="T142" s="4"/>
      <c r="U142" s="4"/>
      <c r="V142" s="4"/>
      <c r="W142" s="4"/>
      <c r="X142" s="4"/>
      <c r="Y142" s="4"/>
      <c r="Z142" s="4"/>
    </row>
    <row r="143" spans="1:26">
      <c r="A143" s="4"/>
      <c r="B143" s="4"/>
      <c r="C143" s="4"/>
      <c r="D143" s="4"/>
      <c r="E143" s="4"/>
      <c r="F143" s="4"/>
      <c r="G143" s="4"/>
      <c r="H143" s="4"/>
      <c r="I143" s="4"/>
      <c r="J143" s="4"/>
      <c r="K143" s="4"/>
      <c r="L143" s="4"/>
      <c r="M143" s="4"/>
      <c r="N143" s="4"/>
      <c r="O143" s="4"/>
      <c r="R143" s="151"/>
      <c r="S143" s="4"/>
      <c r="T143" s="4"/>
      <c r="U143" s="4"/>
      <c r="V143" s="4"/>
      <c r="W143" s="4"/>
      <c r="X143" s="4"/>
      <c r="Y143" s="4"/>
      <c r="Z143" s="4"/>
    </row>
    <row r="144" spans="1:26">
      <c r="A144" s="4"/>
      <c r="B144" s="4"/>
      <c r="C144" s="4"/>
      <c r="D144" s="4"/>
      <c r="E144" s="4"/>
      <c r="F144" s="4"/>
      <c r="G144" s="4"/>
      <c r="H144" s="4"/>
      <c r="I144" s="4"/>
      <c r="J144" s="4"/>
      <c r="K144" s="4"/>
      <c r="L144" s="4"/>
      <c r="M144" s="4"/>
      <c r="N144" s="4"/>
      <c r="O144" s="4"/>
      <c r="R144" s="151"/>
      <c r="S144" s="4"/>
      <c r="T144" s="4"/>
      <c r="U144" s="4"/>
      <c r="V144" s="4"/>
      <c r="W144" s="4"/>
      <c r="X144" s="4"/>
      <c r="Y144" s="4"/>
      <c r="Z144" s="4"/>
    </row>
    <row r="145" spans="1:26">
      <c r="A145" s="4"/>
      <c r="B145" s="4"/>
      <c r="C145" s="4"/>
      <c r="D145" s="4"/>
      <c r="E145" s="4"/>
      <c r="F145" s="4"/>
      <c r="G145" s="4"/>
      <c r="H145" s="4"/>
      <c r="I145" s="4"/>
      <c r="J145" s="4"/>
      <c r="K145" s="4"/>
      <c r="L145" s="4"/>
      <c r="M145" s="4"/>
      <c r="N145" s="4"/>
      <c r="O145" s="4"/>
      <c r="R145" s="151"/>
      <c r="S145" s="4"/>
      <c r="T145" s="4"/>
      <c r="U145" s="4"/>
      <c r="V145" s="4"/>
      <c r="W145" s="4"/>
      <c r="X145" s="4"/>
      <c r="Y145" s="4"/>
      <c r="Z145" s="4"/>
    </row>
    <row r="146" spans="1:26">
      <c r="A146" s="4"/>
      <c r="B146" s="4"/>
      <c r="C146" s="4"/>
      <c r="D146" s="4"/>
      <c r="E146" s="4"/>
      <c r="F146" s="4"/>
      <c r="G146" s="4"/>
      <c r="H146" s="4"/>
      <c r="I146" s="4"/>
      <c r="J146" s="4"/>
      <c r="K146" s="4"/>
      <c r="L146" s="4"/>
      <c r="M146" s="4"/>
      <c r="N146" s="4"/>
      <c r="O146" s="4"/>
      <c r="R146" s="151"/>
      <c r="S146" s="4"/>
      <c r="T146" s="4"/>
      <c r="U146" s="4"/>
      <c r="V146" s="4"/>
      <c r="W146" s="4"/>
      <c r="X146" s="4"/>
      <c r="Y146" s="4"/>
      <c r="Z146" s="4"/>
    </row>
    <row r="147" spans="1:26">
      <c r="A147" s="4"/>
      <c r="B147" s="4"/>
      <c r="C147" s="4"/>
      <c r="D147" s="4"/>
      <c r="E147" s="4"/>
      <c r="F147" s="4"/>
      <c r="G147" s="4"/>
      <c r="H147" s="4"/>
      <c r="I147" s="4"/>
      <c r="J147" s="4"/>
      <c r="K147" s="4"/>
      <c r="L147" s="4"/>
      <c r="M147" s="4"/>
      <c r="N147" s="4"/>
      <c r="O147" s="4"/>
      <c r="R147" s="151"/>
      <c r="S147" s="4"/>
      <c r="T147" s="4"/>
      <c r="U147" s="4"/>
      <c r="V147" s="4"/>
      <c r="W147" s="4"/>
      <c r="X147" s="4"/>
      <c r="Y147" s="4"/>
      <c r="Z147" s="4"/>
    </row>
    <row r="148" spans="1:26">
      <c r="A148" s="4"/>
      <c r="B148" s="4"/>
      <c r="C148" s="4"/>
      <c r="D148" s="4"/>
      <c r="E148" s="4"/>
      <c r="F148" s="4"/>
      <c r="G148" s="4"/>
      <c r="H148" s="4"/>
      <c r="I148" s="4"/>
      <c r="J148" s="4"/>
      <c r="K148" s="4"/>
      <c r="L148" s="4"/>
      <c r="M148" s="4"/>
      <c r="N148" s="4"/>
      <c r="O148" s="4"/>
      <c r="R148" s="151"/>
      <c r="S148" s="4"/>
      <c r="T148" s="4"/>
      <c r="U148" s="4"/>
      <c r="V148" s="4"/>
      <c r="W148" s="4"/>
      <c r="X148" s="4"/>
      <c r="Y148" s="4"/>
      <c r="Z148" s="4"/>
    </row>
    <row r="149" spans="1:26">
      <c r="A149" s="4"/>
      <c r="B149" s="4"/>
      <c r="C149" s="4"/>
      <c r="D149" s="4"/>
      <c r="E149" s="4"/>
      <c r="F149" s="4"/>
      <c r="G149" s="4"/>
      <c r="H149" s="4"/>
      <c r="I149" s="4"/>
      <c r="J149" s="4"/>
      <c r="K149" s="4"/>
      <c r="L149" s="4"/>
      <c r="M149" s="4"/>
      <c r="N149" s="4"/>
      <c r="O149" s="4"/>
      <c r="R149" s="151"/>
      <c r="S149" s="4"/>
      <c r="T149" s="4"/>
      <c r="U149" s="4"/>
      <c r="V149" s="4"/>
      <c r="W149" s="4"/>
      <c r="X149" s="4"/>
      <c r="Y149" s="4"/>
      <c r="Z149" s="4"/>
    </row>
    <row r="150" spans="1:26">
      <c r="A150" s="4"/>
      <c r="B150" s="4"/>
      <c r="C150" s="4"/>
      <c r="D150" s="4"/>
      <c r="E150" s="4"/>
      <c r="F150" s="4"/>
      <c r="G150" s="4"/>
      <c r="H150" s="4"/>
      <c r="I150" s="4"/>
      <c r="J150" s="4"/>
      <c r="K150" s="4"/>
      <c r="L150" s="4"/>
      <c r="M150" s="4"/>
      <c r="N150" s="4"/>
      <c r="O150" s="4"/>
      <c r="R150" s="151"/>
      <c r="S150" s="4"/>
      <c r="T150" s="4"/>
      <c r="U150" s="4"/>
      <c r="V150" s="4"/>
      <c r="W150" s="4"/>
      <c r="X150" s="4"/>
      <c r="Y150" s="4"/>
      <c r="Z150" s="4"/>
    </row>
    <row r="151" spans="1:26">
      <c r="A151" s="4"/>
      <c r="B151" s="4"/>
      <c r="C151" s="4"/>
      <c r="D151" s="4"/>
      <c r="E151" s="4"/>
      <c r="F151" s="4"/>
      <c r="G151" s="4"/>
      <c r="H151" s="4"/>
      <c r="I151" s="4"/>
      <c r="J151" s="4"/>
      <c r="K151" s="4"/>
      <c r="L151" s="4"/>
      <c r="M151" s="4"/>
      <c r="N151" s="4"/>
      <c r="O151" s="4"/>
      <c r="R151" s="151"/>
      <c r="S151" s="4"/>
      <c r="T151" s="4"/>
      <c r="U151" s="4"/>
      <c r="V151" s="4"/>
      <c r="W151" s="4"/>
      <c r="X151" s="4"/>
      <c r="Y151" s="4"/>
      <c r="Z151" s="4"/>
    </row>
    <row r="152" spans="1:26">
      <c r="A152" s="4"/>
      <c r="B152" s="4"/>
      <c r="C152" s="4"/>
      <c r="D152" s="4"/>
      <c r="E152" s="4"/>
      <c r="F152" s="4"/>
      <c r="G152" s="4"/>
      <c r="H152" s="4"/>
      <c r="I152" s="4"/>
      <c r="J152" s="4"/>
      <c r="K152" s="4"/>
      <c r="L152" s="4"/>
      <c r="M152" s="4"/>
      <c r="N152" s="4"/>
      <c r="O152" s="4"/>
      <c r="R152" s="151"/>
      <c r="S152" s="4"/>
      <c r="T152" s="4"/>
      <c r="U152" s="4"/>
      <c r="V152" s="4"/>
      <c r="W152" s="4"/>
      <c r="X152" s="4"/>
      <c r="Y152" s="4"/>
      <c r="Z152" s="4"/>
    </row>
    <row r="153" spans="1:26">
      <c r="A153" s="4"/>
      <c r="B153" s="4"/>
      <c r="C153" s="4"/>
      <c r="D153" s="4"/>
      <c r="E153" s="4"/>
      <c r="F153" s="4"/>
      <c r="G153" s="4"/>
      <c r="H153" s="4"/>
      <c r="I153" s="4"/>
      <c r="J153" s="4"/>
      <c r="K153" s="4"/>
      <c r="L153" s="4"/>
      <c r="M153" s="4"/>
      <c r="N153" s="4"/>
      <c r="O153" s="4"/>
      <c r="R153" s="151"/>
      <c r="S153" s="4"/>
      <c r="T153" s="4"/>
      <c r="U153" s="4"/>
      <c r="V153" s="4"/>
      <c r="W153" s="4"/>
      <c r="X153" s="4"/>
      <c r="Y153" s="4"/>
      <c r="Z153" s="4"/>
    </row>
    <row r="154" spans="1:26">
      <c r="A154" s="4"/>
      <c r="B154" s="4"/>
      <c r="C154" s="4"/>
      <c r="D154" s="4"/>
      <c r="E154" s="4"/>
      <c r="F154" s="4"/>
      <c r="G154" s="4"/>
      <c r="H154" s="4"/>
      <c r="I154" s="4"/>
      <c r="J154" s="4"/>
      <c r="K154" s="4"/>
      <c r="L154" s="4"/>
      <c r="M154" s="4"/>
      <c r="N154" s="4"/>
      <c r="O154" s="4"/>
      <c r="R154" s="151"/>
      <c r="S154" s="4"/>
      <c r="T154" s="4"/>
      <c r="U154" s="4"/>
      <c r="V154" s="4"/>
      <c r="W154" s="4"/>
      <c r="X154" s="4"/>
      <c r="Y154" s="4"/>
      <c r="Z154" s="4"/>
    </row>
  </sheetData>
  <mergeCells count="5">
    <mergeCell ref="A1:C1"/>
    <mergeCell ref="D1:O1"/>
    <mergeCell ref="P1:Q1"/>
    <mergeCell ref="Y1:Z1"/>
    <mergeCell ref="R1:X1"/>
  </mergeCells>
  <phoneticPr fontId="6" type="noConversion"/>
  <hyperlinks>
    <hyperlink ref="P3" r:id="rId1" xr:uid="{8A6238D1-AF3A-4051-A441-535783F699B3}"/>
    <hyperlink ref="D3" r:id="rId2" xr:uid="{B37640DB-DB57-4F27-82A9-1A2C86EC07A2}"/>
    <hyperlink ref="G3" r:id="rId3" xr:uid="{0053FDA0-B2D6-46AF-B508-50E3CD60F0A1}"/>
    <hyperlink ref="R3" r:id="rId4" xr:uid="{27D92566-E699-48F0-8395-15D4819D1325}"/>
    <hyperlink ref="J3" r:id="rId5" xr:uid="{9D8A75EA-1A1F-4977-89FB-E8A80E6ABCF6}"/>
    <hyperlink ref="M3" r:id="rId6" xr:uid="{F022EA42-CDCB-452F-8FBB-34E3E90B7EC2}"/>
    <hyperlink ref="U3" r:id="rId7" xr:uid="{189729BE-D219-40B5-9CEB-CD171C64FE6B}"/>
    <hyperlink ref="W3" r:id="rId8" xr:uid="{393FD6FC-EE6D-4D70-843E-276B6ABEA927}"/>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F2C21-F604-4220-A7EB-71B41D760603}">
  <dimension ref="A1:AA153"/>
  <sheetViews>
    <sheetView workbookViewId="0">
      <pane xSplit="3" ySplit="1" topLeftCell="AA2" activePane="bottomRight" state="frozen"/>
      <selection pane="bottomRight" activeCell="AA1" sqref="AA1"/>
      <selection pane="bottomLeft" activeCell="A2" sqref="A2"/>
      <selection pane="topRight" activeCell="D1" sqref="D1"/>
    </sheetView>
  </sheetViews>
  <sheetFormatPr defaultColWidth="11" defaultRowHeight="14.25"/>
  <cols>
    <col min="1" max="1" width="7.42578125" style="1" customWidth="1"/>
    <col min="2" max="2" width="15.42578125" style="1" customWidth="1"/>
    <col min="3" max="4" width="13.42578125" style="1" customWidth="1"/>
    <col min="5" max="5" width="19.7109375" style="1" customWidth="1"/>
    <col min="6" max="6" width="13.42578125" style="1" customWidth="1"/>
    <col min="7" max="7" width="19.42578125" style="1" customWidth="1"/>
    <col min="8" max="8" width="13.42578125" style="1" customWidth="1"/>
    <col min="9" max="10" width="19.42578125" style="1" customWidth="1"/>
    <col min="11" max="11" width="13.42578125" style="1" customWidth="1"/>
    <col min="12" max="12" width="19.7109375" style="1" customWidth="1"/>
    <col min="13" max="13" width="13.42578125" style="1" customWidth="1"/>
    <col min="14" max="14" width="19.42578125" style="1" customWidth="1"/>
    <col min="15" max="15" width="13.42578125" style="1" customWidth="1"/>
    <col min="16" max="16" width="19.42578125" style="1" customWidth="1"/>
    <col min="17" max="17" width="13.42578125" style="1" customWidth="1"/>
    <col min="18" max="18" width="19.42578125" style="1" customWidth="1"/>
    <col min="19" max="19" width="23.7109375" style="1" customWidth="1"/>
    <col min="20" max="21" width="19.42578125" style="1" customWidth="1"/>
    <col min="22" max="22" width="20.5703125" style="1" bestFit="1" customWidth="1"/>
    <col min="23" max="26" width="18.5703125" style="26" customWidth="1"/>
    <col min="27" max="16384" width="11" style="26"/>
  </cols>
  <sheetData>
    <row r="1" spans="1:27" ht="90.4">
      <c r="A1" s="5" t="s">
        <v>278</v>
      </c>
      <c r="B1" s="6" t="s">
        <v>279</v>
      </c>
      <c r="C1" s="6" t="s">
        <v>280</v>
      </c>
      <c r="D1" s="6" t="s">
        <v>125</v>
      </c>
      <c r="E1" s="7" t="s">
        <v>182</v>
      </c>
      <c r="F1" s="6" t="s">
        <v>125</v>
      </c>
      <c r="G1" s="7" t="s">
        <v>190</v>
      </c>
      <c r="H1" s="6" t="s">
        <v>125</v>
      </c>
      <c r="I1" s="7" t="s">
        <v>197</v>
      </c>
      <c r="J1" s="7" t="s">
        <v>203</v>
      </c>
      <c r="K1" s="6" t="s">
        <v>125</v>
      </c>
      <c r="L1" s="19" t="s">
        <v>214</v>
      </c>
      <c r="M1" s="6" t="s">
        <v>125</v>
      </c>
      <c r="N1" s="19" t="s">
        <v>217</v>
      </c>
      <c r="O1" s="6" t="s">
        <v>125</v>
      </c>
      <c r="P1" s="19" t="s">
        <v>224</v>
      </c>
      <c r="Q1" s="6" t="s">
        <v>125</v>
      </c>
      <c r="R1" s="19" t="s">
        <v>221</v>
      </c>
      <c r="S1" s="19" t="s">
        <v>229</v>
      </c>
      <c r="T1" s="19" t="s">
        <v>232</v>
      </c>
      <c r="U1" s="19" t="s">
        <v>235</v>
      </c>
      <c r="V1" s="19" t="s">
        <v>238</v>
      </c>
      <c r="W1" s="110" t="s">
        <v>230</v>
      </c>
      <c r="X1" s="110" t="s">
        <v>233</v>
      </c>
      <c r="Y1" s="110" t="s">
        <v>239</v>
      </c>
      <c r="Z1" s="110" t="s">
        <v>236</v>
      </c>
      <c r="AA1" s="110" t="s">
        <v>260</v>
      </c>
    </row>
    <row r="2" spans="1:27">
      <c r="A2" s="9">
        <v>0</v>
      </c>
      <c r="B2" s="1" t="s">
        <v>567</v>
      </c>
      <c r="C2" s="1" t="s">
        <v>568</v>
      </c>
      <c r="D2" s="1" t="s">
        <v>577</v>
      </c>
      <c r="E2" s="96">
        <v>0.1</v>
      </c>
      <c r="F2" s="1" t="s">
        <v>578</v>
      </c>
      <c r="G2" s="96">
        <v>0.15</v>
      </c>
      <c r="H2" s="1" t="s">
        <v>578</v>
      </c>
      <c r="I2" s="96">
        <v>0.4</v>
      </c>
      <c r="J2" s="96">
        <v>0.35</v>
      </c>
      <c r="K2" s="1" t="s">
        <v>579</v>
      </c>
      <c r="L2" s="123">
        <f>P2/1.7</f>
        <v>0.17559262510974538</v>
      </c>
      <c r="M2" s="1" t="s">
        <v>580</v>
      </c>
      <c r="N2" s="123">
        <f>P2</f>
        <v>0.29850746268656714</v>
      </c>
      <c r="O2" s="1" t="s">
        <v>581</v>
      </c>
      <c r="P2" s="123">
        <f>10/(10 + 8.5 + 15)</f>
        <v>0.29850746268656714</v>
      </c>
      <c r="Q2" s="1" t="s">
        <v>582</v>
      </c>
      <c r="R2" s="123">
        <v>0.15</v>
      </c>
      <c r="S2" s="123">
        <f>100%-L2</f>
        <v>0.82440737489025462</v>
      </c>
      <c r="T2" s="123">
        <f>100%-N2</f>
        <v>0.70149253731343286</v>
      </c>
      <c r="U2" s="123">
        <f t="shared" ref="U2:U33" si="0">100%-R2</f>
        <v>0.85</v>
      </c>
      <c r="V2" s="123">
        <f>100%-P2</f>
        <v>0.70149253731343286</v>
      </c>
      <c r="W2" s="375">
        <v>0.75</v>
      </c>
      <c r="X2" s="375">
        <v>0.5</v>
      </c>
      <c r="Y2" s="375">
        <v>0.5</v>
      </c>
      <c r="Z2" s="375">
        <v>0.05</v>
      </c>
      <c r="AA2" s="124">
        <v>0.3</v>
      </c>
    </row>
    <row r="3" spans="1:27">
      <c r="A3" s="9">
        <v>1</v>
      </c>
      <c r="B3" s="1" t="s">
        <v>304</v>
      </c>
      <c r="C3" s="1" t="s">
        <v>305</v>
      </c>
      <c r="E3" s="96">
        <f>E$2</f>
        <v>0.1</v>
      </c>
      <c r="G3" s="96">
        <f>G$2</f>
        <v>0.15</v>
      </c>
      <c r="I3" s="96">
        <f>I$2</f>
        <v>0.4</v>
      </c>
      <c r="J3" s="96">
        <f>J$2</f>
        <v>0.35</v>
      </c>
      <c r="L3" s="123">
        <f>L$2</f>
        <v>0.17559262510974538</v>
      </c>
      <c r="N3" s="123">
        <f>N$2</f>
        <v>0.29850746268656714</v>
      </c>
      <c r="P3" s="123">
        <f>P$2</f>
        <v>0.29850746268656714</v>
      </c>
      <c r="R3" s="123">
        <f>R$2</f>
        <v>0.15</v>
      </c>
      <c r="S3" s="123">
        <f t="shared" ref="S3:V18" si="1">S$2</f>
        <v>0.82440737489025462</v>
      </c>
      <c r="T3" s="123">
        <f t="shared" si="1"/>
        <v>0.70149253731343286</v>
      </c>
      <c r="U3" s="123">
        <f t="shared" si="0"/>
        <v>0.85</v>
      </c>
      <c r="V3" s="123">
        <f t="shared" si="1"/>
        <v>0.70149253731343286</v>
      </c>
      <c r="W3" s="375">
        <v>0.75</v>
      </c>
      <c r="X3" s="375">
        <v>0.5</v>
      </c>
      <c r="Y3" s="375">
        <v>0.5</v>
      </c>
      <c r="Z3" s="375">
        <v>0.05</v>
      </c>
      <c r="AA3" s="124">
        <v>0.3</v>
      </c>
    </row>
    <row r="4" spans="1:27">
      <c r="A4" s="9">
        <v>2</v>
      </c>
      <c r="B4" s="1" t="s">
        <v>314</v>
      </c>
      <c r="C4" s="1" t="s">
        <v>315</v>
      </c>
      <c r="E4" s="96">
        <f t="shared" ref="E4:E52" si="2">E$2</f>
        <v>0.1</v>
      </c>
      <c r="G4" s="96">
        <f t="shared" ref="G4:G52" si="3">G$2</f>
        <v>0.15</v>
      </c>
      <c r="I4" s="96">
        <f t="shared" ref="I4:J35" si="4">I$2</f>
        <v>0.4</v>
      </c>
      <c r="J4" s="96">
        <f t="shared" si="4"/>
        <v>0.35</v>
      </c>
      <c r="L4" s="123">
        <f t="shared" ref="L4:L52" si="5">L$2</f>
        <v>0.17559262510974538</v>
      </c>
      <c r="N4" s="123">
        <f t="shared" ref="N4:N52" si="6">N$2</f>
        <v>0.29850746268656714</v>
      </c>
      <c r="P4" s="123">
        <f t="shared" ref="P4:V35" si="7">P$2</f>
        <v>0.29850746268656714</v>
      </c>
      <c r="R4" s="123">
        <f t="shared" si="7"/>
        <v>0.15</v>
      </c>
      <c r="S4" s="123">
        <f t="shared" si="1"/>
        <v>0.82440737489025462</v>
      </c>
      <c r="T4" s="123">
        <f t="shared" si="1"/>
        <v>0.70149253731343286</v>
      </c>
      <c r="U4" s="123">
        <f t="shared" si="0"/>
        <v>0.85</v>
      </c>
      <c r="V4" s="123">
        <f t="shared" si="1"/>
        <v>0.70149253731343286</v>
      </c>
      <c r="W4" s="375">
        <v>0.75</v>
      </c>
      <c r="X4" s="375">
        <v>0.5</v>
      </c>
      <c r="Y4" s="375">
        <v>0.5</v>
      </c>
      <c r="Z4" s="375">
        <v>0.05</v>
      </c>
      <c r="AA4" s="124">
        <v>0.3</v>
      </c>
    </row>
    <row r="5" spans="1:27">
      <c r="A5" s="9">
        <v>3</v>
      </c>
      <c r="B5" s="1" t="s">
        <v>321</v>
      </c>
      <c r="C5" s="1" t="s">
        <v>322</v>
      </c>
      <c r="E5" s="96">
        <f t="shared" si="2"/>
        <v>0.1</v>
      </c>
      <c r="G5" s="96">
        <f t="shared" si="3"/>
        <v>0.15</v>
      </c>
      <c r="I5" s="96">
        <f t="shared" si="4"/>
        <v>0.4</v>
      </c>
      <c r="J5" s="96">
        <f t="shared" si="4"/>
        <v>0.35</v>
      </c>
      <c r="L5" s="123">
        <f t="shared" si="5"/>
        <v>0.17559262510974538</v>
      </c>
      <c r="N5" s="123">
        <f t="shared" si="6"/>
        <v>0.29850746268656714</v>
      </c>
      <c r="P5" s="123">
        <f t="shared" si="7"/>
        <v>0.29850746268656714</v>
      </c>
      <c r="R5" s="123">
        <f t="shared" si="7"/>
        <v>0.15</v>
      </c>
      <c r="S5" s="123">
        <f t="shared" si="1"/>
        <v>0.82440737489025462</v>
      </c>
      <c r="T5" s="123">
        <f t="shared" si="1"/>
        <v>0.70149253731343286</v>
      </c>
      <c r="U5" s="123">
        <f t="shared" si="0"/>
        <v>0.85</v>
      </c>
      <c r="V5" s="123">
        <f t="shared" si="1"/>
        <v>0.70149253731343286</v>
      </c>
      <c r="W5" s="375">
        <v>0.75</v>
      </c>
      <c r="X5" s="375">
        <v>0.5</v>
      </c>
      <c r="Y5" s="375">
        <v>0.5</v>
      </c>
      <c r="Z5" s="375">
        <v>0.05</v>
      </c>
      <c r="AA5" s="124">
        <v>0.3</v>
      </c>
    </row>
    <row r="6" spans="1:27">
      <c r="A6" s="9">
        <v>4</v>
      </c>
      <c r="B6" s="1" t="s">
        <v>327</v>
      </c>
      <c r="C6" s="1" t="s">
        <v>328</v>
      </c>
      <c r="E6" s="96">
        <f t="shared" si="2"/>
        <v>0.1</v>
      </c>
      <c r="G6" s="96">
        <f t="shared" si="3"/>
        <v>0.15</v>
      </c>
      <c r="I6" s="96">
        <f t="shared" si="4"/>
        <v>0.4</v>
      </c>
      <c r="J6" s="96">
        <f t="shared" si="4"/>
        <v>0.35</v>
      </c>
      <c r="L6" s="123">
        <f t="shared" si="5"/>
        <v>0.17559262510974538</v>
      </c>
      <c r="N6" s="123">
        <f t="shared" si="6"/>
        <v>0.29850746268656714</v>
      </c>
      <c r="P6" s="123">
        <f t="shared" si="7"/>
        <v>0.29850746268656714</v>
      </c>
      <c r="R6" s="123">
        <f t="shared" si="7"/>
        <v>0.15</v>
      </c>
      <c r="S6" s="123">
        <f t="shared" si="1"/>
        <v>0.82440737489025462</v>
      </c>
      <c r="T6" s="123">
        <f t="shared" si="1"/>
        <v>0.70149253731343286</v>
      </c>
      <c r="U6" s="123">
        <f t="shared" si="0"/>
        <v>0.85</v>
      </c>
      <c r="V6" s="123">
        <f t="shared" si="1"/>
        <v>0.70149253731343286</v>
      </c>
      <c r="W6" s="375">
        <v>0.75</v>
      </c>
      <c r="X6" s="375">
        <v>0.5</v>
      </c>
      <c r="Y6" s="375">
        <v>0.5</v>
      </c>
      <c r="Z6" s="375">
        <v>0.05</v>
      </c>
      <c r="AA6" s="124">
        <v>0.3</v>
      </c>
    </row>
    <row r="7" spans="1:27">
      <c r="A7" s="9">
        <v>5</v>
      </c>
      <c r="B7" s="1" t="s">
        <v>332</v>
      </c>
      <c r="C7" s="1" t="s">
        <v>333</v>
      </c>
      <c r="E7" s="96">
        <f t="shared" si="2"/>
        <v>0.1</v>
      </c>
      <c r="G7" s="96">
        <f t="shared" si="3"/>
        <v>0.15</v>
      </c>
      <c r="I7" s="96">
        <f t="shared" si="4"/>
        <v>0.4</v>
      </c>
      <c r="J7" s="96">
        <f t="shared" si="4"/>
        <v>0.35</v>
      </c>
      <c r="L7" s="123">
        <f t="shared" si="5"/>
        <v>0.17559262510974538</v>
      </c>
      <c r="N7" s="123">
        <f t="shared" si="6"/>
        <v>0.29850746268656714</v>
      </c>
      <c r="P7" s="123">
        <f t="shared" si="7"/>
        <v>0.29850746268656714</v>
      </c>
      <c r="R7" s="123">
        <f t="shared" si="7"/>
        <v>0.15</v>
      </c>
      <c r="S7" s="123">
        <f t="shared" si="1"/>
        <v>0.82440737489025462</v>
      </c>
      <c r="T7" s="123">
        <f t="shared" si="1"/>
        <v>0.70149253731343286</v>
      </c>
      <c r="U7" s="123">
        <f t="shared" si="0"/>
        <v>0.85</v>
      </c>
      <c r="V7" s="123">
        <f t="shared" si="1"/>
        <v>0.70149253731343286</v>
      </c>
      <c r="W7" s="375">
        <v>0.75</v>
      </c>
      <c r="X7" s="375">
        <v>0.5</v>
      </c>
      <c r="Y7" s="375">
        <v>0.5</v>
      </c>
      <c r="Z7" s="375">
        <v>0.05</v>
      </c>
      <c r="AA7" s="124">
        <v>0.3</v>
      </c>
    </row>
    <row r="8" spans="1:27">
      <c r="A8" s="9">
        <v>6</v>
      </c>
      <c r="B8" s="1" t="s">
        <v>337</v>
      </c>
      <c r="C8" s="1" t="s">
        <v>338</v>
      </c>
      <c r="E8" s="96">
        <f t="shared" si="2"/>
        <v>0.1</v>
      </c>
      <c r="G8" s="96">
        <f t="shared" si="3"/>
        <v>0.15</v>
      </c>
      <c r="I8" s="96">
        <f t="shared" si="4"/>
        <v>0.4</v>
      </c>
      <c r="J8" s="96">
        <f t="shared" si="4"/>
        <v>0.35</v>
      </c>
      <c r="L8" s="123">
        <f t="shared" si="5"/>
        <v>0.17559262510974538</v>
      </c>
      <c r="N8" s="123">
        <f t="shared" si="6"/>
        <v>0.29850746268656714</v>
      </c>
      <c r="P8" s="123">
        <f t="shared" si="7"/>
        <v>0.29850746268656714</v>
      </c>
      <c r="R8" s="123">
        <f t="shared" si="7"/>
        <v>0.15</v>
      </c>
      <c r="S8" s="123">
        <f t="shared" si="1"/>
        <v>0.82440737489025462</v>
      </c>
      <c r="T8" s="123">
        <f t="shared" si="1"/>
        <v>0.70149253731343286</v>
      </c>
      <c r="U8" s="123">
        <f t="shared" si="0"/>
        <v>0.85</v>
      </c>
      <c r="V8" s="123">
        <f t="shared" si="1"/>
        <v>0.70149253731343286</v>
      </c>
      <c r="W8" s="375">
        <v>0.75</v>
      </c>
      <c r="X8" s="375">
        <v>0.5</v>
      </c>
      <c r="Y8" s="375">
        <v>0.5</v>
      </c>
      <c r="Z8" s="375">
        <v>0.05</v>
      </c>
      <c r="AA8" s="124">
        <v>0.3</v>
      </c>
    </row>
    <row r="9" spans="1:27">
      <c r="A9" s="9">
        <v>7</v>
      </c>
      <c r="B9" s="1" t="s">
        <v>342</v>
      </c>
      <c r="C9" s="1" t="s">
        <v>343</v>
      </c>
      <c r="E9" s="96">
        <f t="shared" si="2"/>
        <v>0.1</v>
      </c>
      <c r="G9" s="96">
        <f t="shared" si="3"/>
        <v>0.15</v>
      </c>
      <c r="I9" s="96">
        <f t="shared" si="4"/>
        <v>0.4</v>
      </c>
      <c r="J9" s="96">
        <f t="shared" si="4"/>
        <v>0.35</v>
      </c>
      <c r="L9" s="123">
        <f t="shared" si="5"/>
        <v>0.17559262510974538</v>
      </c>
      <c r="N9" s="123">
        <f t="shared" si="6"/>
        <v>0.29850746268656714</v>
      </c>
      <c r="P9" s="123">
        <f t="shared" si="7"/>
        <v>0.29850746268656714</v>
      </c>
      <c r="R9" s="123">
        <f t="shared" si="7"/>
        <v>0.15</v>
      </c>
      <c r="S9" s="123">
        <f t="shared" si="1"/>
        <v>0.82440737489025462</v>
      </c>
      <c r="T9" s="123">
        <f t="shared" si="1"/>
        <v>0.70149253731343286</v>
      </c>
      <c r="U9" s="123">
        <f t="shared" si="0"/>
        <v>0.85</v>
      </c>
      <c r="V9" s="123">
        <f t="shared" si="1"/>
        <v>0.70149253731343286</v>
      </c>
      <c r="W9" s="375">
        <v>0.75</v>
      </c>
      <c r="X9" s="375">
        <v>0.5</v>
      </c>
      <c r="Y9" s="375">
        <v>0.5</v>
      </c>
      <c r="Z9" s="375">
        <v>0.05</v>
      </c>
      <c r="AA9" s="124">
        <v>0.3</v>
      </c>
    </row>
    <row r="10" spans="1:27">
      <c r="A10" s="9">
        <v>8</v>
      </c>
      <c r="B10" s="1" t="s">
        <v>348</v>
      </c>
      <c r="C10" s="1" t="s">
        <v>349</v>
      </c>
      <c r="E10" s="96">
        <f t="shared" si="2"/>
        <v>0.1</v>
      </c>
      <c r="G10" s="96">
        <f t="shared" si="3"/>
        <v>0.15</v>
      </c>
      <c r="I10" s="96">
        <f t="shared" si="4"/>
        <v>0.4</v>
      </c>
      <c r="J10" s="96">
        <f t="shared" si="4"/>
        <v>0.35</v>
      </c>
      <c r="L10" s="123">
        <f t="shared" si="5"/>
        <v>0.17559262510974538</v>
      </c>
      <c r="N10" s="123">
        <f t="shared" si="6"/>
        <v>0.29850746268656714</v>
      </c>
      <c r="P10" s="123">
        <f t="shared" si="7"/>
        <v>0.29850746268656714</v>
      </c>
      <c r="R10" s="123">
        <f t="shared" si="7"/>
        <v>0.15</v>
      </c>
      <c r="S10" s="123">
        <f t="shared" si="1"/>
        <v>0.82440737489025462</v>
      </c>
      <c r="T10" s="123">
        <f t="shared" si="1"/>
        <v>0.70149253731343286</v>
      </c>
      <c r="U10" s="123">
        <f t="shared" si="0"/>
        <v>0.85</v>
      </c>
      <c r="V10" s="123">
        <f t="shared" si="1"/>
        <v>0.70149253731343286</v>
      </c>
      <c r="W10" s="375">
        <v>0.75</v>
      </c>
      <c r="X10" s="375">
        <v>0.5</v>
      </c>
      <c r="Y10" s="375">
        <v>0.5</v>
      </c>
      <c r="Z10" s="375">
        <v>0.05</v>
      </c>
      <c r="AA10" s="124">
        <v>0.3</v>
      </c>
    </row>
    <row r="11" spans="1:27">
      <c r="A11" s="9">
        <v>9</v>
      </c>
      <c r="B11" s="1" t="s">
        <v>353</v>
      </c>
      <c r="C11" s="1" t="s">
        <v>354</v>
      </c>
      <c r="E11" s="96">
        <f t="shared" si="2"/>
        <v>0.1</v>
      </c>
      <c r="G11" s="96">
        <f t="shared" si="3"/>
        <v>0.15</v>
      </c>
      <c r="I11" s="96">
        <f t="shared" si="4"/>
        <v>0.4</v>
      </c>
      <c r="J11" s="96">
        <f t="shared" si="4"/>
        <v>0.35</v>
      </c>
      <c r="L11" s="123">
        <f t="shared" si="5"/>
        <v>0.17559262510974538</v>
      </c>
      <c r="N11" s="123">
        <f t="shared" si="6"/>
        <v>0.29850746268656714</v>
      </c>
      <c r="P11" s="123">
        <f t="shared" si="7"/>
        <v>0.29850746268656714</v>
      </c>
      <c r="R11" s="123">
        <f t="shared" si="7"/>
        <v>0.15</v>
      </c>
      <c r="S11" s="123">
        <f t="shared" si="1"/>
        <v>0.82440737489025462</v>
      </c>
      <c r="T11" s="123">
        <f t="shared" si="1"/>
        <v>0.70149253731343286</v>
      </c>
      <c r="U11" s="123">
        <f t="shared" si="0"/>
        <v>0.85</v>
      </c>
      <c r="V11" s="123">
        <f t="shared" si="1"/>
        <v>0.70149253731343286</v>
      </c>
      <c r="W11" s="375">
        <v>0.75</v>
      </c>
      <c r="X11" s="375">
        <v>0.5</v>
      </c>
      <c r="Y11" s="375">
        <v>0.5</v>
      </c>
      <c r="Z11" s="375">
        <v>0.05</v>
      </c>
      <c r="AA11" s="124">
        <v>0.3</v>
      </c>
    </row>
    <row r="12" spans="1:27">
      <c r="A12" s="9">
        <v>10</v>
      </c>
      <c r="B12" s="1" t="s">
        <v>358</v>
      </c>
      <c r="C12" s="1" t="s">
        <v>359</v>
      </c>
      <c r="E12" s="96">
        <f t="shared" si="2"/>
        <v>0.1</v>
      </c>
      <c r="G12" s="96">
        <f t="shared" si="3"/>
        <v>0.15</v>
      </c>
      <c r="I12" s="96">
        <f t="shared" si="4"/>
        <v>0.4</v>
      </c>
      <c r="J12" s="96">
        <f t="shared" si="4"/>
        <v>0.35</v>
      </c>
      <c r="L12" s="123">
        <f t="shared" si="5"/>
        <v>0.17559262510974538</v>
      </c>
      <c r="N12" s="123">
        <f t="shared" si="6"/>
        <v>0.29850746268656714</v>
      </c>
      <c r="P12" s="123">
        <f t="shared" si="7"/>
        <v>0.29850746268656714</v>
      </c>
      <c r="R12" s="123">
        <f t="shared" si="7"/>
        <v>0.15</v>
      </c>
      <c r="S12" s="123">
        <f t="shared" si="1"/>
        <v>0.82440737489025462</v>
      </c>
      <c r="T12" s="123">
        <f t="shared" si="1"/>
        <v>0.70149253731343286</v>
      </c>
      <c r="U12" s="123">
        <f t="shared" si="0"/>
        <v>0.85</v>
      </c>
      <c r="V12" s="123">
        <f t="shared" si="1"/>
        <v>0.70149253731343286</v>
      </c>
      <c r="W12" s="375">
        <v>0.75</v>
      </c>
      <c r="X12" s="375">
        <v>0.5</v>
      </c>
      <c r="Y12" s="375">
        <v>0.5</v>
      </c>
      <c r="Z12" s="375">
        <v>0.05</v>
      </c>
      <c r="AA12" s="124">
        <v>0.3</v>
      </c>
    </row>
    <row r="13" spans="1:27">
      <c r="A13" s="9">
        <v>11</v>
      </c>
      <c r="B13" s="1" t="s">
        <v>363</v>
      </c>
      <c r="C13" s="1" t="s">
        <v>364</v>
      </c>
      <c r="E13" s="96">
        <f t="shared" si="2"/>
        <v>0.1</v>
      </c>
      <c r="G13" s="96">
        <f t="shared" si="3"/>
        <v>0.15</v>
      </c>
      <c r="I13" s="96">
        <f t="shared" si="4"/>
        <v>0.4</v>
      </c>
      <c r="J13" s="96">
        <f t="shared" si="4"/>
        <v>0.35</v>
      </c>
      <c r="L13" s="123">
        <f t="shared" si="5"/>
        <v>0.17559262510974538</v>
      </c>
      <c r="N13" s="123">
        <f t="shared" si="6"/>
        <v>0.29850746268656714</v>
      </c>
      <c r="P13" s="123">
        <f t="shared" si="7"/>
        <v>0.29850746268656714</v>
      </c>
      <c r="R13" s="123">
        <f t="shared" si="7"/>
        <v>0.15</v>
      </c>
      <c r="S13" s="123">
        <f t="shared" si="1"/>
        <v>0.82440737489025462</v>
      </c>
      <c r="T13" s="123">
        <f t="shared" si="1"/>
        <v>0.70149253731343286</v>
      </c>
      <c r="U13" s="123">
        <f t="shared" si="0"/>
        <v>0.85</v>
      </c>
      <c r="V13" s="123">
        <f t="shared" si="1"/>
        <v>0.70149253731343286</v>
      </c>
      <c r="W13" s="375">
        <v>0.75</v>
      </c>
      <c r="X13" s="375">
        <v>0.5</v>
      </c>
      <c r="Y13" s="375">
        <v>0.5</v>
      </c>
      <c r="Z13" s="375">
        <v>0.05</v>
      </c>
      <c r="AA13" s="124">
        <v>0.3</v>
      </c>
    </row>
    <row r="14" spans="1:27">
      <c r="A14" s="9">
        <v>12</v>
      </c>
      <c r="B14" s="1" t="s">
        <v>368</v>
      </c>
      <c r="C14" s="1" t="s">
        <v>278</v>
      </c>
      <c r="E14" s="96">
        <f t="shared" si="2"/>
        <v>0.1</v>
      </c>
      <c r="G14" s="96">
        <f t="shared" si="3"/>
        <v>0.15</v>
      </c>
      <c r="I14" s="96">
        <f t="shared" si="4"/>
        <v>0.4</v>
      </c>
      <c r="J14" s="96">
        <f t="shared" si="4"/>
        <v>0.35</v>
      </c>
      <c r="L14" s="123">
        <f t="shared" si="5"/>
        <v>0.17559262510974538</v>
      </c>
      <c r="N14" s="123">
        <f t="shared" si="6"/>
        <v>0.29850746268656714</v>
      </c>
      <c r="P14" s="123">
        <f t="shared" si="7"/>
        <v>0.29850746268656714</v>
      </c>
      <c r="R14" s="123">
        <f t="shared" si="7"/>
        <v>0.15</v>
      </c>
      <c r="S14" s="123">
        <f t="shared" si="1"/>
        <v>0.82440737489025462</v>
      </c>
      <c r="T14" s="123">
        <f t="shared" si="1"/>
        <v>0.70149253731343286</v>
      </c>
      <c r="U14" s="123">
        <f t="shared" si="0"/>
        <v>0.85</v>
      </c>
      <c r="V14" s="123">
        <f t="shared" si="1"/>
        <v>0.70149253731343286</v>
      </c>
      <c r="W14" s="375">
        <v>0.75</v>
      </c>
      <c r="X14" s="375">
        <v>0.5</v>
      </c>
      <c r="Y14" s="375">
        <v>0.5</v>
      </c>
      <c r="Z14" s="375">
        <v>0.05</v>
      </c>
      <c r="AA14" s="124">
        <v>0.3</v>
      </c>
    </row>
    <row r="15" spans="1:27">
      <c r="A15" s="9">
        <v>13</v>
      </c>
      <c r="B15" s="1" t="s">
        <v>372</v>
      </c>
      <c r="C15" s="1" t="s">
        <v>373</v>
      </c>
      <c r="E15" s="96">
        <f t="shared" si="2"/>
        <v>0.1</v>
      </c>
      <c r="G15" s="96">
        <f t="shared" si="3"/>
        <v>0.15</v>
      </c>
      <c r="I15" s="96">
        <f t="shared" si="4"/>
        <v>0.4</v>
      </c>
      <c r="J15" s="96">
        <f t="shared" si="4"/>
        <v>0.35</v>
      </c>
      <c r="L15" s="123">
        <f t="shared" si="5"/>
        <v>0.17559262510974538</v>
      </c>
      <c r="N15" s="123">
        <f t="shared" si="6"/>
        <v>0.29850746268656714</v>
      </c>
      <c r="P15" s="123">
        <f t="shared" si="7"/>
        <v>0.29850746268656714</v>
      </c>
      <c r="R15" s="123">
        <f t="shared" si="7"/>
        <v>0.15</v>
      </c>
      <c r="S15" s="123">
        <f t="shared" si="1"/>
        <v>0.82440737489025462</v>
      </c>
      <c r="T15" s="123">
        <f t="shared" si="1"/>
        <v>0.70149253731343286</v>
      </c>
      <c r="U15" s="123">
        <f t="shared" si="0"/>
        <v>0.85</v>
      </c>
      <c r="V15" s="123">
        <f t="shared" si="1"/>
        <v>0.70149253731343286</v>
      </c>
      <c r="W15" s="375">
        <v>0.75</v>
      </c>
      <c r="X15" s="375">
        <v>0.5</v>
      </c>
      <c r="Y15" s="375">
        <v>0.5</v>
      </c>
      <c r="Z15" s="375">
        <v>0.05</v>
      </c>
      <c r="AA15" s="124">
        <v>0.3</v>
      </c>
    </row>
    <row r="16" spans="1:27">
      <c r="A16" s="9">
        <v>14</v>
      </c>
      <c r="B16" s="1" t="s">
        <v>378</v>
      </c>
      <c r="C16" s="1" t="s">
        <v>379</v>
      </c>
      <c r="E16" s="96">
        <f t="shared" si="2"/>
        <v>0.1</v>
      </c>
      <c r="G16" s="96">
        <f t="shared" si="3"/>
        <v>0.15</v>
      </c>
      <c r="I16" s="96">
        <f t="shared" si="4"/>
        <v>0.4</v>
      </c>
      <c r="J16" s="96">
        <f t="shared" si="4"/>
        <v>0.35</v>
      </c>
      <c r="L16" s="123">
        <f t="shared" si="5"/>
        <v>0.17559262510974538</v>
      </c>
      <c r="N16" s="123">
        <f t="shared" si="6"/>
        <v>0.29850746268656714</v>
      </c>
      <c r="P16" s="123">
        <f t="shared" si="7"/>
        <v>0.29850746268656714</v>
      </c>
      <c r="R16" s="123">
        <f t="shared" si="7"/>
        <v>0.15</v>
      </c>
      <c r="S16" s="123">
        <f t="shared" si="1"/>
        <v>0.82440737489025462</v>
      </c>
      <c r="T16" s="123">
        <f t="shared" si="1"/>
        <v>0.70149253731343286</v>
      </c>
      <c r="U16" s="123">
        <f t="shared" si="0"/>
        <v>0.85</v>
      </c>
      <c r="V16" s="123">
        <f t="shared" si="1"/>
        <v>0.70149253731343286</v>
      </c>
      <c r="W16" s="375">
        <v>0.75</v>
      </c>
      <c r="X16" s="375">
        <v>0.5</v>
      </c>
      <c r="Y16" s="375">
        <v>0.5</v>
      </c>
      <c r="Z16" s="375">
        <v>0.05</v>
      </c>
      <c r="AA16" s="124">
        <v>0.3</v>
      </c>
    </row>
    <row r="17" spans="1:27">
      <c r="A17" s="9">
        <v>15</v>
      </c>
      <c r="B17" s="1" t="s">
        <v>383</v>
      </c>
      <c r="C17" s="1" t="s">
        <v>384</v>
      </c>
      <c r="E17" s="96">
        <f t="shared" si="2"/>
        <v>0.1</v>
      </c>
      <c r="G17" s="96">
        <f t="shared" si="3"/>
        <v>0.15</v>
      </c>
      <c r="I17" s="96">
        <f t="shared" si="4"/>
        <v>0.4</v>
      </c>
      <c r="J17" s="96">
        <f t="shared" si="4"/>
        <v>0.35</v>
      </c>
      <c r="L17" s="123">
        <f t="shared" si="5"/>
        <v>0.17559262510974538</v>
      </c>
      <c r="N17" s="123">
        <f t="shared" si="6"/>
        <v>0.29850746268656714</v>
      </c>
      <c r="P17" s="123">
        <f t="shared" si="7"/>
        <v>0.29850746268656714</v>
      </c>
      <c r="R17" s="123">
        <f t="shared" si="7"/>
        <v>0.15</v>
      </c>
      <c r="S17" s="123">
        <f t="shared" si="1"/>
        <v>0.82440737489025462</v>
      </c>
      <c r="T17" s="123">
        <f t="shared" si="1"/>
        <v>0.70149253731343286</v>
      </c>
      <c r="U17" s="123">
        <f t="shared" si="0"/>
        <v>0.85</v>
      </c>
      <c r="V17" s="123">
        <f t="shared" si="1"/>
        <v>0.70149253731343286</v>
      </c>
      <c r="W17" s="375">
        <v>0.75</v>
      </c>
      <c r="X17" s="375">
        <v>0.5</v>
      </c>
      <c r="Y17" s="375">
        <v>0.5</v>
      </c>
      <c r="Z17" s="375">
        <v>0.05</v>
      </c>
      <c r="AA17" s="124">
        <v>0.3</v>
      </c>
    </row>
    <row r="18" spans="1:27">
      <c r="A18" s="9">
        <v>16</v>
      </c>
      <c r="B18" s="1" t="s">
        <v>388</v>
      </c>
      <c r="C18" s="1" t="s">
        <v>389</v>
      </c>
      <c r="E18" s="96">
        <f t="shared" si="2"/>
        <v>0.1</v>
      </c>
      <c r="G18" s="96">
        <f t="shared" si="3"/>
        <v>0.15</v>
      </c>
      <c r="I18" s="96">
        <f t="shared" si="4"/>
        <v>0.4</v>
      </c>
      <c r="J18" s="96">
        <f t="shared" si="4"/>
        <v>0.35</v>
      </c>
      <c r="L18" s="123">
        <f t="shared" si="5"/>
        <v>0.17559262510974538</v>
      </c>
      <c r="N18" s="123">
        <f t="shared" si="6"/>
        <v>0.29850746268656714</v>
      </c>
      <c r="P18" s="123">
        <f t="shared" si="7"/>
        <v>0.29850746268656714</v>
      </c>
      <c r="R18" s="123">
        <f t="shared" si="7"/>
        <v>0.15</v>
      </c>
      <c r="S18" s="123">
        <f t="shared" si="1"/>
        <v>0.82440737489025462</v>
      </c>
      <c r="T18" s="123">
        <f t="shared" si="1"/>
        <v>0.70149253731343286</v>
      </c>
      <c r="U18" s="123">
        <f t="shared" si="0"/>
        <v>0.85</v>
      </c>
      <c r="V18" s="123">
        <f t="shared" si="1"/>
        <v>0.70149253731343286</v>
      </c>
      <c r="W18" s="375">
        <v>0.75</v>
      </c>
      <c r="X18" s="375">
        <v>0.5</v>
      </c>
      <c r="Y18" s="375">
        <v>0.5</v>
      </c>
      <c r="Z18" s="375">
        <v>0.05</v>
      </c>
      <c r="AA18" s="124">
        <v>0.3</v>
      </c>
    </row>
    <row r="19" spans="1:27">
      <c r="A19" s="9">
        <v>17</v>
      </c>
      <c r="B19" s="1" t="s">
        <v>393</v>
      </c>
      <c r="C19" s="1" t="s">
        <v>394</v>
      </c>
      <c r="E19" s="96">
        <f t="shared" si="2"/>
        <v>0.1</v>
      </c>
      <c r="G19" s="96">
        <f t="shared" si="3"/>
        <v>0.15</v>
      </c>
      <c r="I19" s="96">
        <f t="shared" si="4"/>
        <v>0.4</v>
      </c>
      <c r="J19" s="96">
        <f t="shared" si="4"/>
        <v>0.35</v>
      </c>
      <c r="L19" s="123">
        <f t="shared" si="5"/>
        <v>0.17559262510974538</v>
      </c>
      <c r="N19" s="123">
        <f t="shared" si="6"/>
        <v>0.29850746268656714</v>
      </c>
      <c r="P19" s="123">
        <f t="shared" si="7"/>
        <v>0.29850746268656714</v>
      </c>
      <c r="R19" s="123">
        <f t="shared" si="7"/>
        <v>0.15</v>
      </c>
      <c r="S19" s="123">
        <f t="shared" si="7"/>
        <v>0.82440737489025462</v>
      </c>
      <c r="T19" s="123">
        <f t="shared" si="7"/>
        <v>0.70149253731343286</v>
      </c>
      <c r="U19" s="123">
        <f t="shared" si="0"/>
        <v>0.85</v>
      </c>
      <c r="V19" s="123">
        <f t="shared" si="7"/>
        <v>0.70149253731343286</v>
      </c>
      <c r="W19" s="375">
        <v>0.75</v>
      </c>
      <c r="X19" s="375">
        <v>0.5</v>
      </c>
      <c r="Y19" s="375">
        <v>0.5</v>
      </c>
      <c r="Z19" s="375">
        <v>0.05</v>
      </c>
      <c r="AA19" s="124">
        <v>0.3</v>
      </c>
    </row>
    <row r="20" spans="1:27">
      <c r="A20" s="9">
        <v>18</v>
      </c>
      <c r="B20" s="1" t="s">
        <v>398</v>
      </c>
      <c r="C20" s="1" t="s">
        <v>399</v>
      </c>
      <c r="E20" s="96">
        <f t="shared" si="2"/>
        <v>0.1</v>
      </c>
      <c r="G20" s="96">
        <f t="shared" si="3"/>
        <v>0.15</v>
      </c>
      <c r="I20" s="96">
        <f t="shared" si="4"/>
        <v>0.4</v>
      </c>
      <c r="J20" s="96">
        <f t="shared" si="4"/>
        <v>0.35</v>
      </c>
      <c r="L20" s="123">
        <f t="shared" si="5"/>
        <v>0.17559262510974538</v>
      </c>
      <c r="N20" s="123">
        <f t="shared" si="6"/>
        <v>0.29850746268656714</v>
      </c>
      <c r="P20" s="123">
        <f t="shared" si="7"/>
        <v>0.29850746268656714</v>
      </c>
      <c r="R20" s="123">
        <f t="shared" si="7"/>
        <v>0.15</v>
      </c>
      <c r="S20" s="123">
        <f t="shared" si="7"/>
        <v>0.82440737489025462</v>
      </c>
      <c r="T20" s="123">
        <f t="shared" si="7"/>
        <v>0.70149253731343286</v>
      </c>
      <c r="U20" s="123">
        <f t="shared" si="0"/>
        <v>0.85</v>
      </c>
      <c r="V20" s="123">
        <f t="shared" si="7"/>
        <v>0.70149253731343286</v>
      </c>
      <c r="W20" s="375">
        <v>0.75</v>
      </c>
      <c r="X20" s="375">
        <v>0.5</v>
      </c>
      <c r="Y20" s="375">
        <v>0.5</v>
      </c>
      <c r="Z20" s="375">
        <v>0.05</v>
      </c>
      <c r="AA20" s="124">
        <v>0.3</v>
      </c>
    </row>
    <row r="21" spans="1:27">
      <c r="A21" s="9">
        <v>19</v>
      </c>
      <c r="B21" s="1" t="s">
        <v>403</v>
      </c>
      <c r="C21" s="1" t="s">
        <v>404</v>
      </c>
      <c r="E21" s="96">
        <f t="shared" si="2"/>
        <v>0.1</v>
      </c>
      <c r="G21" s="96">
        <f t="shared" si="3"/>
        <v>0.15</v>
      </c>
      <c r="I21" s="96">
        <f t="shared" si="4"/>
        <v>0.4</v>
      </c>
      <c r="J21" s="96">
        <f t="shared" si="4"/>
        <v>0.35</v>
      </c>
      <c r="L21" s="123">
        <f t="shared" si="5"/>
        <v>0.17559262510974538</v>
      </c>
      <c r="N21" s="123">
        <f t="shared" si="6"/>
        <v>0.29850746268656714</v>
      </c>
      <c r="P21" s="123">
        <f t="shared" si="7"/>
        <v>0.29850746268656714</v>
      </c>
      <c r="R21" s="123">
        <f t="shared" si="7"/>
        <v>0.15</v>
      </c>
      <c r="S21" s="123">
        <f t="shared" si="7"/>
        <v>0.82440737489025462</v>
      </c>
      <c r="T21" s="123">
        <f t="shared" si="7"/>
        <v>0.70149253731343286</v>
      </c>
      <c r="U21" s="123">
        <f t="shared" si="0"/>
        <v>0.85</v>
      </c>
      <c r="V21" s="123">
        <f t="shared" si="7"/>
        <v>0.70149253731343286</v>
      </c>
      <c r="W21" s="375">
        <v>0.75</v>
      </c>
      <c r="X21" s="375">
        <v>0.5</v>
      </c>
      <c r="Y21" s="375">
        <v>0.5</v>
      </c>
      <c r="Z21" s="375">
        <v>0.05</v>
      </c>
      <c r="AA21" s="124">
        <v>0.3</v>
      </c>
    </row>
    <row r="22" spans="1:27">
      <c r="A22" s="9">
        <v>20</v>
      </c>
      <c r="B22" s="1" t="s">
        <v>408</v>
      </c>
      <c r="C22" s="1" t="s">
        <v>409</v>
      </c>
      <c r="E22" s="96">
        <f t="shared" si="2"/>
        <v>0.1</v>
      </c>
      <c r="G22" s="96">
        <f t="shared" si="3"/>
        <v>0.15</v>
      </c>
      <c r="I22" s="96">
        <f t="shared" si="4"/>
        <v>0.4</v>
      </c>
      <c r="J22" s="96">
        <f t="shared" si="4"/>
        <v>0.35</v>
      </c>
      <c r="L22" s="123">
        <f t="shared" si="5"/>
        <v>0.17559262510974538</v>
      </c>
      <c r="N22" s="123">
        <f t="shared" si="6"/>
        <v>0.29850746268656714</v>
      </c>
      <c r="P22" s="123">
        <f t="shared" si="7"/>
        <v>0.29850746268656714</v>
      </c>
      <c r="R22" s="123">
        <f t="shared" si="7"/>
        <v>0.15</v>
      </c>
      <c r="S22" s="123">
        <f t="shared" si="7"/>
        <v>0.82440737489025462</v>
      </c>
      <c r="T22" s="123">
        <f t="shared" si="7"/>
        <v>0.70149253731343286</v>
      </c>
      <c r="U22" s="123">
        <f t="shared" si="0"/>
        <v>0.85</v>
      </c>
      <c r="V22" s="123">
        <f t="shared" si="7"/>
        <v>0.70149253731343286</v>
      </c>
      <c r="W22" s="375">
        <v>0.75</v>
      </c>
      <c r="X22" s="375">
        <v>0.5</v>
      </c>
      <c r="Y22" s="375">
        <v>0.5</v>
      </c>
      <c r="Z22" s="375">
        <v>0.05</v>
      </c>
      <c r="AA22" s="124">
        <v>0.3</v>
      </c>
    </row>
    <row r="23" spans="1:27">
      <c r="A23" s="9">
        <v>21</v>
      </c>
      <c r="B23" s="1" t="s">
        <v>413</v>
      </c>
      <c r="C23" s="1" t="s">
        <v>414</v>
      </c>
      <c r="E23" s="96">
        <f t="shared" si="2"/>
        <v>0.1</v>
      </c>
      <c r="G23" s="96">
        <f t="shared" si="3"/>
        <v>0.15</v>
      </c>
      <c r="I23" s="96">
        <f t="shared" si="4"/>
        <v>0.4</v>
      </c>
      <c r="J23" s="96">
        <f t="shared" si="4"/>
        <v>0.35</v>
      </c>
      <c r="L23" s="123">
        <f t="shared" si="5"/>
        <v>0.17559262510974538</v>
      </c>
      <c r="N23" s="123">
        <f t="shared" si="6"/>
        <v>0.29850746268656714</v>
      </c>
      <c r="P23" s="123">
        <f t="shared" si="7"/>
        <v>0.29850746268656714</v>
      </c>
      <c r="R23" s="123">
        <f t="shared" si="7"/>
        <v>0.15</v>
      </c>
      <c r="S23" s="123">
        <f t="shared" si="7"/>
        <v>0.82440737489025462</v>
      </c>
      <c r="T23" s="123">
        <f t="shared" si="7"/>
        <v>0.70149253731343286</v>
      </c>
      <c r="U23" s="123">
        <f t="shared" si="0"/>
        <v>0.85</v>
      </c>
      <c r="V23" s="123">
        <f t="shared" si="7"/>
        <v>0.70149253731343286</v>
      </c>
      <c r="W23" s="375">
        <v>0.75</v>
      </c>
      <c r="X23" s="375">
        <v>0.5</v>
      </c>
      <c r="Y23" s="375">
        <v>0.5</v>
      </c>
      <c r="Z23" s="375">
        <v>0.05</v>
      </c>
      <c r="AA23" s="124">
        <v>0.3</v>
      </c>
    </row>
    <row r="24" spans="1:27">
      <c r="A24" s="9">
        <v>22</v>
      </c>
      <c r="B24" s="1" t="s">
        <v>418</v>
      </c>
      <c r="C24" s="1" t="s">
        <v>419</v>
      </c>
      <c r="E24" s="96">
        <f t="shared" si="2"/>
        <v>0.1</v>
      </c>
      <c r="G24" s="96">
        <f t="shared" si="3"/>
        <v>0.15</v>
      </c>
      <c r="I24" s="96">
        <f t="shared" si="4"/>
        <v>0.4</v>
      </c>
      <c r="J24" s="96">
        <f t="shared" si="4"/>
        <v>0.35</v>
      </c>
      <c r="L24" s="123">
        <f t="shared" si="5"/>
        <v>0.17559262510974538</v>
      </c>
      <c r="N24" s="123">
        <f t="shared" si="6"/>
        <v>0.29850746268656714</v>
      </c>
      <c r="P24" s="123">
        <f t="shared" si="7"/>
        <v>0.29850746268656714</v>
      </c>
      <c r="R24" s="123">
        <f t="shared" si="7"/>
        <v>0.15</v>
      </c>
      <c r="S24" s="123">
        <f t="shared" si="7"/>
        <v>0.82440737489025462</v>
      </c>
      <c r="T24" s="123">
        <f t="shared" si="7"/>
        <v>0.70149253731343286</v>
      </c>
      <c r="U24" s="123">
        <f t="shared" si="0"/>
        <v>0.85</v>
      </c>
      <c r="V24" s="123">
        <f t="shared" si="7"/>
        <v>0.70149253731343286</v>
      </c>
      <c r="W24" s="375">
        <v>0.75</v>
      </c>
      <c r="X24" s="375">
        <v>0.5</v>
      </c>
      <c r="Y24" s="375">
        <v>0.5</v>
      </c>
      <c r="Z24" s="375">
        <v>0.05</v>
      </c>
      <c r="AA24" s="124">
        <v>0.3</v>
      </c>
    </row>
    <row r="25" spans="1:27">
      <c r="A25" s="9">
        <v>23</v>
      </c>
      <c r="B25" s="1" t="s">
        <v>424</v>
      </c>
      <c r="C25" s="1" t="s">
        <v>425</v>
      </c>
      <c r="E25" s="96">
        <f t="shared" si="2"/>
        <v>0.1</v>
      </c>
      <c r="G25" s="96">
        <f t="shared" si="3"/>
        <v>0.15</v>
      </c>
      <c r="I25" s="96">
        <f t="shared" si="4"/>
        <v>0.4</v>
      </c>
      <c r="J25" s="96">
        <f t="shared" si="4"/>
        <v>0.35</v>
      </c>
      <c r="L25" s="123">
        <f t="shared" si="5"/>
        <v>0.17559262510974538</v>
      </c>
      <c r="N25" s="123">
        <f t="shared" si="6"/>
        <v>0.29850746268656714</v>
      </c>
      <c r="P25" s="123">
        <f t="shared" si="7"/>
        <v>0.29850746268656714</v>
      </c>
      <c r="R25" s="123">
        <f t="shared" si="7"/>
        <v>0.15</v>
      </c>
      <c r="S25" s="123">
        <f t="shared" si="7"/>
        <v>0.82440737489025462</v>
      </c>
      <c r="T25" s="123">
        <f t="shared" si="7"/>
        <v>0.70149253731343286</v>
      </c>
      <c r="U25" s="123">
        <f t="shared" si="0"/>
        <v>0.85</v>
      </c>
      <c r="V25" s="123">
        <f t="shared" si="7"/>
        <v>0.70149253731343286</v>
      </c>
      <c r="W25" s="375">
        <v>0.75</v>
      </c>
      <c r="X25" s="375">
        <v>0.5</v>
      </c>
      <c r="Y25" s="375">
        <v>0.5</v>
      </c>
      <c r="Z25" s="375">
        <v>0.05</v>
      </c>
      <c r="AA25" s="124">
        <v>0.3</v>
      </c>
    </row>
    <row r="26" spans="1:27">
      <c r="A26" s="9">
        <v>24</v>
      </c>
      <c r="B26" s="1" t="s">
        <v>429</v>
      </c>
      <c r="C26" s="1" t="s">
        <v>430</v>
      </c>
      <c r="E26" s="96">
        <f t="shared" si="2"/>
        <v>0.1</v>
      </c>
      <c r="G26" s="96">
        <f t="shared" si="3"/>
        <v>0.15</v>
      </c>
      <c r="I26" s="96">
        <f t="shared" si="4"/>
        <v>0.4</v>
      </c>
      <c r="J26" s="96">
        <f t="shared" si="4"/>
        <v>0.35</v>
      </c>
      <c r="L26" s="123">
        <f t="shared" si="5"/>
        <v>0.17559262510974538</v>
      </c>
      <c r="N26" s="123">
        <f t="shared" si="6"/>
        <v>0.29850746268656714</v>
      </c>
      <c r="P26" s="123">
        <f t="shared" si="7"/>
        <v>0.29850746268656714</v>
      </c>
      <c r="R26" s="123">
        <f t="shared" si="7"/>
        <v>0.15</v>
      </c>
      <c r="S26" s="123">
        <f t="shared" si="7"/>
        <v>0.82440737489025462</v>
      </c>
      <c r="T26" s="123">
        <f t="shared" si="7"/>
        <v>0.70149253731343286</v>
      </c>
      <c r="U26" s="123">
        <f t="shared" si="0"/>
        <v>0.85</v>
      </c>
      <c r="V26" s="123">
        <f t="shared" si="7"/>
        <v>0.70149253731343286</v>
      </c>
      <c r="W26" s="375">
        <v>0.75</v>
      </c>
      <c r="X26" s="375">
        <v>0.5</v>
      </c>
      <c r="Y26" s="375">
        <v>0.5</v>
      </c>
      <c r="Z26" s="375">
        <v>0.05</v>
      </c>
      <c r="AA26" s="124">
        <v>0.3</v>
      </c>
    </row>
    <row r="27" spans="1:27">
      <c r="A27" s="9">
        <v>25</v>
      </c>
      <c r="B27" s="1" t="s">
        <v>434</v>
      </c>
      <c r="C27" s="1" t="s">
        <v>435</v>
      </c>
      <c r="E27" s="96">
        <f t="shared" si="2"/>
        <v>0.1</v>
      </c>
      <c r="G27" s="96">
        <f t="shared" si="3"/>
        <v>0.15</v>
      </c>
      <c r="I27" s="96">
        <f t="shared" si="4"/>
        <v>0.4</v>
      </c>
      <c r="J27" s="96">
        <f t="shared" si="4"/>
        <v>0.35</v>
      </c>
      <c r="L27" s="123">
        <f t="shared" si="5"/>
        <v>0.17559262510974538</v>
      </c>
      <c r="N27" s="123">
        <f t="shared" si="6"/>
        <v>0.29850746268656714</v>
      </c>
      <c r="P27" s="123">
        <f t="shared" si="7"/>
        <v>0.29850746268656714</v>
      </c>
      <c r="R27" s="123">
        <f t="shared" si="7"/>
        <v>0.15</v>
      </c>
      <c r="S27" s="123">
        <f t="shared" si="7"/>
        <v>0.82440737489025462</v>
      </c>
      <c r="T27" s="123">
        <f t="shared" si="7"/>
        <v>0.70149253731343286</v>
      </c>
      <c r="U27" s="123">
        <f t="shared" si="0"/>
        <v>0.85</v>
      </c>
      <c r="V27" s="123">
        <f t="shared" si="7"/>
        <v>0.70149253731343286</v>
      </c>
      <c r="W27" s="375">
        <v>0.75</v>
      </c>
      <c r="X27" s="375">
        <v>0.5</v>
      </c>
      <c r="Y27" s="375">
        <v>0.5</v>
      </c>
      <c r="Z27" s="375">
        <v>0.05</v>
      </c>
      <c r="AA27" s="124">
        <v>0.3</v>
      </c>
    </row>
    <row r="28" spans="1:27">
      <c r="A28" s="9">
        <v>26</v>
      </c>
      <c r="B28" s="1" t="s">
        <v>439</v>
      </c>
      <c r="C28" s="1" t="s">
        <v>440</v>
      </c>
      <c r="E28" s="96">
        <f t="shared" si="2"/>
        <v>0.1</v>
      </c>
      <c r="G28" s="96">
        <f t="shared" si="3"/>
        <v>0.15</v>
      </c>
      <c r="I28" s="96">
        <f t="shared" si="4"/>
        <v>0.4</v>
      </c>
      <c r="J28" s="96">
        <f t="shared" si="4"/>
        <v>0.35</v>
      </c>
      <c r="L28" s="123">
        <f t="shared" si="5"/>
        <v>0.17559262510974538</v>
      </c>
      <c r="N28" s="123">
        <f t="shared" si="6"/>
        <v>0.29850746268656714</v>
      </c>
      <c r="P28" s="123">
        <f t="shared" si="7"/>
        <v>0.29850746268656714</v>
      </c>
      <c r="R28" s="123">
        <f t="shared" si="7"/>
        <v>0.15</v>
      </c>
      <c r="S28" s="123">
        <f t="shared" si="7"/>
        <v>0.82440737489025462</v>
      </c>
      <c r="T28" s="123">
        <f t="shared" si="7"/>
        <v>0.70149253731343286</v>
      </c>
      <c r="U28" s="123">
        <f t="shared" si="0"/>
        <v>0.85</v>
      </c>
      <c r="V28" s="123">
        <f t="shared" si="7"/>
        <v>0.70149253731343286</v>
      </c>
      <c r="W28" s="375">
        <v>0.75</v>
      </c>
      <c r="X28" s="375">
        <v>0.5</v>
      </c>
      <c r="Y28" s="375">
        <v>0.5</v>
      </c>
      <c r="Z28" s="375">
        <v>0.05</v>
      </c>
      <c r="AA28" s="124">
        <v>0.3</v>
      </c>
    </row>
    <row r="29" spans="1:27">
      <c r="A29" s="9">
        <v>27</v>
      </c>
      <c r="B29" s="1" t="s">
        <v>444</v>
      </c>
      <c r="C29" s="1" t="s">
        <v>445</v>
      </c>
      <c r="E29" s="96">
        <f t="shared" si="2"/>
        <v>0.1</v>
      </c>
      <c r="G29" s="96">
        <f t="shared" si="3"/>
        <v>0.15</v>
      </c>
      <c r="I29" s="96">
        <f t="shared" si="4"/>
        <v>0.4</v>
      </c>
      <c r="J29" s="96">
        <f t="shared" si="4"/>
        <v>0.35</v>
      </c>
      <c r="L29" s="123">
        <f t="shared" si="5"/>
        <v>0.17559262510974538</v>
      </c>
      <c r="N29" s="123">
        <f t="shared" si="6"/>
        <v>0.29850746268656714</v>
      </c>
      <c r="P29" s="123">
        <f t="shared" si="7"/>
        <v>0.29850746268656714</v>
      </c>
      <c r="R29" s="123">
        <f t="shared" si="7"/>
        <v>0.15</v>
      </c>
      <c r="S29" s="123">
        <f t="shared" si="7"/>
        <v>0.82440737489025462</v>
      </c>
      <c r="T29" s="123">
        <f t="shared" si="7"/>
        <v>0.70149253731343286</v>
      </c>
      <c r="U29" s="123">
        <f t="shared" si="0"/>
        <v>0.85</v>
      </c>
      <c r="V29" s="123">
        <f t="shared" si="7"/>
        <v>0.70149253731343286</v>
      </c>
      <c r="W29" s="375">
        <v>0.75</v>
      </c>
      <c r="X29" s="375">
        <v>0.5</v>
      </c>
      <c r="Y29" s="375">
        <v>0.5</v>
      </c>
      <c r="Z29" s="375">
        <v>0.05</v>
      </c>
      <c r="AA29" s="124">
        <v>0.3</v>
      </c>
    </row>
    <row r="30" spans="1:27">
      <c r="A30" s="9">
        <v>28</v>
      </c>
      <c r="B30" s="1" t="s">
        <v>449</v>
      </c>
      <c r="C30" s="1" t="s">
        <v>450</v>
      </c>
      <c r="E30" s="96">
        <f t="shared" si="2"/>
        <v>0.1</v>
      </c>
      <c r="G30" s="96">
        <f t="shared" si="3"/>
        <v>0.15</v>
      </c>
      <c r="I30" s="96">
        <f t="shared" si="4"/>
        <v>0.4</v>
      </c>
      <c r="J30" s="96">
        <f t="shared" si="4"/>
        <v>0.35</v>
      </c>
      <c r="L30" s="123">
        <f t="shared" si="5"/>
        <v>0.17559262510974538</v>
      </c>
      <c r="N30" s="123">
        <f t="shared" si="6"/>
        <v>0.29850746268656714</v>
      </c>
      <c r="P30" s="123">
        <f t="shared" si="7"/>
        <v>0.29850746268656714</v>
      </c>
      <c r="R30" s="123">
        <f t="shared" si="7"/>
        <v>0.15</v>
      </c>
      <c r="S30" s="123">
        <f t="shared" si="7"/>
        <v>0.82440737489025462</v>
      </c>
      <c r="T30" s="123">
        <f t="shared" si="7"/>
        <v>0.70149253731343286</v>
      </c>
      <c r="U30" s="123">
        <f t="shared" si="0"/>
        <v>0.85</v>
      </c>
      <c r="V30" s="123">
        <f t="shared" si="7"/>
        <v>0.70149253731343286</v>
      </c>
      <c r="W30" s="375">
        <v>0.75</v>
      </c>
      <c r="X30" s="375">
        <v>0.5</v>
      </c>
      <c r="Y30" s="375">
        <v>0.5</v>
      </c>
      <c r="Z30" s="375">
        <v>0.05</v>
      </c>
      <c r="AA30" s="124">
        <v>0.3</v>
      </c>
    </row>
    <row r="31" spans="1:27">
      <c r="A31" s="9">
        <v>29</v>
      </c>
      <c r="B31" s="1" t="s">
        <v>454</v>
      </c>
      <c r="C31" s="1" t="s">
        <v>455</v>
      </c>
      <c r="E31" s="96">
        <f t="shared" si="2"/>
        <v>0.1</v>
      </c>
      <c r="G31" s="96">
        <f t="shared" si="3"/>
        <v>0.15</v>
      </c>
      <c r="I31" s="96">
        <f t="shared" si="4"/>
        <v>0.4</v>
      </c>
      <c r="J31" s="96">
        <f t="shared" si="4"/>
        <v>0.35</v>
      </c>
      <c r="L31" s="123">
        <f t="shared" si="5"/>
        <v>0.17559262510974538</v>
      </c>
      <c r="N31" s="123">
        <f t="shared" si="6"/>
        <v>0.29850746268656714</v>
      </c>
      <c r="P31" s="123">
        <f t="shared" si="7"/>
        <v>0.29850746268656714</v>
      </c>
      <c r="R31" s="123">
        <f t="shared" si="7"/>
        <v>0.15</v>
      </c>
      <c r="S31" s="123">
        <f t="shared" si="7"/>
        <v>0.82440737489025462</v>
      </c>
      <c r="T31" s="123">
        <f t="shared" si="7"/>
        <v>0.70149253731343286</v>
      </c>
      <c r="U31" s="123">
        <f t="shared" si="0"/>
        <v>0.85</v>
      </c>
      <c r="V31" s="123">
        <f t="shared" si="7"/>
        <v>0.70149253731343286</v>
      </c>
      <c r="W31" s="375">
        <v>0.75</v>
      </c>
      <c r="X31" s="375">
        <v>0.5</v>
      </c>
      <c r="Y31" s="375">
        <v>0.5</v>
      </c>
      <c r="Z31" s="375">
        <v>0.05</v>
      </c>
      <c r="AA31" s="124">
        <v>0.3</v>
      </c>
    </row>
    <row r="32" spans="1:27">
      <c r="A32" s="9">
        <v>30</v>
      </c>
      <c r="B32" s="1" t="s">
        <v>459</v>
      </c>
      <c r="C32" s="1" t="s">
        <v>460</v>
      </c>
      <c r="E32" s="96">
        <f t="shared" si="2"/>
        <v>0.1</v>
      </c>
      <c r="G32" s="96">
        <f t="shared" si="3"/>
        <v>0.15</v>
      </c>
      <c r="I32" s="96">
        <f t="shared" si="4"/>
        <v>0.4</v>
      </c>
      <c r="J32" s="96">
        <f t="shared" si="4"/>
        <v>0.35</v>
      </c>
      <c r="L32" s="123">
        <f t="shared" si="5"/>
        <v>0.17559262510974538</v>
      </c>
      <c r="N32" s="123">
        <f t="shared" si="6"/>
        <v>0.29850746268656714</v>
      </c>
      <c r="P32" s="123">
        <f t="shared" si="7"/>
        <v>0.29850746268656714</v>
      </c>
      <c r="R32" s="123">
        <f t="shared" si="7"/>
        <v>0.15</v>
      </c>
      <c r="S32" s="123">
        <f t="shared" si="7"/>
        <v>0.82440737489025462</v>
      </c>
      <c r="T32" s="123">
        <f t="shared" si="7"/>
        <v>0.70149253731343286</v>
      </c>
      <c r="U32" s="123">
        <f t="shared" si="0"/>
        <v>0.85</v>
      </c>
      <c r="V32" s="123">
        <f t="shared" si="7"/>
        <v>0.70149253731343286</v>
      </c>
      <c r="W32" s="375">
        <v>0.75</v>
      </c>
      <c r="X32" s="375">
        <v>0.5</v>
      </c>
      <c r="Y32" s="375">
        <v>0.5</v>
      </c>
      <c r="Z32" s="375">
        <v>0.05</v>
      </c>
      <c r="AA32" s="124">
        <v>0.3</v>
      </c>
    </row>
    <row r="33" spans="1:27">
      <c r="A33" s="9">
        <v>31</v>
      </c>
      <c r="B33" s="1" t="s">
        <v>464</v>
      </c>
      <c r="C33" s="1" t="s">
        <v>465</v>
      </c>
      <c r="E33" s="96">
        <f t="shared" si="2"/>
        <v>0.1</v>
      </c>
      <c r="G33" s="96">
        <f t="shared" si="3"/>
        <v>0.15</v>
      </c>
      <c r="I33" s="96">
        <f t="shared" si="4"/>
        <v>0.4</v>
      </c>
      <c r="J33" s="96">
        <f t="shared" si="4"/>
        <v>0.35</v>
      </c>
      <c r="L33" s="123">
        <f t="shared" si="5"/>
        <v>0.17559262510974538</v>
      </c>
      <c r="N33" s="123">
        <f t="shared" si="6"/>
        <v>0.29850746268656714</v>
      </c>
      <c r="P33" s="123">
        <f t="shared" si="7"/>
        <v>0.29850746268656714</v>
      </c>
      <c r="R33" s="123">
        <f t="shared" si="7"/>
        <v>0.15</v>
      </c>
      <c r="S33" s="123">
        <f t="shared" si="7"/>
        <v>0.82440737489025462</v>
      </c>
      <c r="T33" s="123">
        <f t="shared" si="7"/>
        <v>0.70149253731343286</v>
      </c>
      <c r="U33" s="123">
        <f t="shared" si="0"/>
        <v>0.85</v>
      </c>
      <c r="V33" s="123">
        <f t="shared" si="7"/>
        <v>0.70149253731343286</v>
      </c>
      <c r="W33" s="375">
        <v>0.75</v>
      </c>
      <c r="X33" s="375">
        <v>0.5</v>
      </c>
      <c r="Y33" s="375">
        <v>0.5</v>
      </c>
      <c r="Z33" s="375">
        <v>0.05</v>
      </c>
      <c r="AA33" s="124">
        <v>0.3</v>
      </c>
    </row>
    <row r="34" spans="1:27">
      <c r="A34" s="9">
        <v>32</v>
      </c>
      <c r="B34" s="1" t="s">
        <v>469</v>
      </c>
      <c r="C34" s="1" t="s">
        <v>470</v>
      </c>
      <c r="E34" s="96">
        <f t="shared" si="2"/>
        <v>0.1</v>
      </c>
      <c r="G34" s="96">
        <f t="shared" si="3"/>
        <v>0.15</v>
      </c>
      <c r="I34" s="96">
        <f t="shared" si="4"/>
        <v>0.4</v>
      </c>
      <c r="J34" s="96">
        <f t="shared" si="4"/>
        <v>0.35</v>
      </c>
      <c r="L34" s="123">
        <f t="shared" si="5"/>
        <v>0.17559262510974538</v>
      </c>
      <c r="N34" s="123">
        <f t="shared" si="6"/>
        <v>0.29850746268656714</v>
      </c>
      <c r="P34" s="123">
        <f t="shared" si="7"/>
        <v>0.29850746268656714</v>
      </c>
      <c r="R34" s="123">
        <f t="shared" si="7"/>
        <v>0.15</v>
      </c>
      <c r="S34" s="123">
        <f t="shared" si="7"/>
        <v>0.82440737489025462</v>
      </c>
      <c r="T34" s="123">
        <f t="shared" si="7"/>
        <v>0.70149253731343286</v>
      </c>
      <c r="U34" s="123">
        <f t="shared" ref="U34:U52" si="8">100%-R34</f>
        <v>0.85</v>
      </c>
      <c r="V34" s="123">
        <f t="shared" si="7"/>
        <v>0.70149253731343286</v>
      </c>
      <c r="W34" s="375">
        <v>0.75</v>
      </c>
      <c r="X34" s="375">
        <v>0.5</v>
      </c>
      <c r="Y34" s="375">
        <v>0.5</v>
      </c>
      <c r="Z34" s="375">
        <v>0.05</v>
      </c>
      <c r="AA34" s="124">
        <v>0.3</v>
      </c>
    </row>
    <row r="35" spans="1:27">
      <c r="A35" s="9">
        <v>33</v>
      </c>
      <c r="B35" s="1" t="s">
        <v>474</v>
      </c>
      <c r="C35" s="1" t="s">
        <v>475</v>
      </c>
      <c r="E35" s="96">
        <f t="shared" si="2"/>
        <v>0.1</v>
      </c>
      <c r="G35" s="96">
        <f t="shared" si="3"/>
        <v>0.15</v>
      </c>
      <c r="I35" s="96">
        <f t="shared" si="4"/>
        <v>0.4</v>
      </c>
      <c r="J35" s="96">
        <f t="shared" si="4"/>
        <v>0.35</v>
      </c>
      <c r="L35" s="123">
        <f t="shared" si="5"/>
        <v>0.17559262510974538</v>
      </c>
      <c r="N35" s="123">
        <f t="shared" si="6"/>
        <v>0.29850746268656714</v>
      </c>
      <c r="P35" s="123">
        <f t="shared" si="7"/>
        <v>0.29850746268656714</v>
      </c>
      <c r="R35" s="123">
        <f t="shared" si="7"/>
        <v>0.15</v>
      </c>
      <c r="S35" s="123">
        <f t="shared" si="7"/>
        <v>0.82440737489025462</v>
      </c>
      <c r="T35" s="123">
        <f t="shared" si="7"/>
        <v>0.70149253731343286</v>
      </c>
      <c r="U35" s="123">
        <f t="shared" si="8"/>
        <v>0.85</v>
      </c>
      <c r="V35" s="123">
        <f t="shared" si="7"/>
        <v>0.70149253731343286</v>
      </c>
      <c r="W35" s="375">
        <v>0.75</v>
      </c>
      <c r="X35" s="375">
        <v>0.5</v>
      </c>
      <c r="Y35" s="375">
        <v>0.5</v>
      </c>
      <c r="Z35" s="375">
        <v>0.05</v>
      </c>
      <c r="AA35" s="124">
        <v>0.3</v>
      </c>
    </row>
    <row r="36" spans="1:27">
      <c r="A36" s="9">
        <v>34</v>
      </c>
      <c r="B36" s="1" t="s">
        <v>479</v>
      </c>
      <c r="C36" s="1" t="s">
        <v>480</v>
      </c>
      <c r="E36" s="96">
        <f t="shared" si="2"/>
        <v>0.1</v>
      </c>
      <c r="G36" s="96">
        <f t="shared" si="3"/>
        <v>0.15</v>
      </c>
      <c r="I36" s="96">
        <f t="shared" ref="I36:J52" si="9">I$2</f>
        <v>0.4</v>
      </c>
      <c r="J36" s="96">
        <f t="shared" si="9"/>
        <v>0.35</v>
      </c>
      <c r="L36" s="123">
        <f t="shared" si="5"/>
        <v>0.17559262510974538</v>
      </c>
      <c r="N36" s="123">
        <f t="shared" si="6"/>
        <v>0.29850746268656714</v>
      </c>
      <c r="P36" s="123">
        <f t="shared" ref="P36:V52" si="10">P$2</f>
        <v>0.29850746268656714</v>
      </c>
      <c r="R36" s="123">
        <f t="shared" si="10"/>
        <v>0.15</v>
      </c>
      <c r="S36" s="123">
        <f t="shared" si="10"/>
        <v>0.82440737489025462</v>
      </c>
      <c r="T36" s="123">
        <f t="shared" si="10"/>
        <v>0.70149253731343286</v>
      </c>
      <c r="U36" s="123">
        <f t="shared" si="8"/>
        <v>0.85</v>
      </c>
      <c r="V36" s="123">
        <f t="shared" si="10"/>
        <v>0.70149253731343286</v>
      </c>
      <c r="W36" s="375">
        <v>0.75</v>
      </c>
      <c r="X36" s="375">
        <v>0.5</v>
      </c>
      <c r="Y36" s="375">
        <v>0.5</v>
      </c>
      <c r="Z36" s="375">
        <v>0.05</v>
      </c>
      <c r="AA36" s="124">
        <v>0.3</v>
      </c>
    </row>
    <row r="37" spans="1:27">
      <c r="A37" s="9">
        <v>35</v>
      </c>
      <c r="B37" s="1" t="s">
        <v>484</v>
      </c>
      <c r="C37" s="1" t="s">
        <v>485</v>
      </c>
      <c r="E37" s="96">
        <f t="shared" si="2"/>
        <v>0.1</v>
      </c>
      <c r="G37" s="96">
        <f t="shared" si="3"/>
        <v>0.15</v>
      </c>
      <c r="I37" s="96">
        <f t="shared" si="9"/>
        <v>0.4</v>
      </c>
      <c r="J37" s="96">
        <f t="shared" si="9"/>
        <v>0.35</v>
      </c>
      <c r="L37" s="123">
        <f t="shared" si="5"/>
        <v>0.17559262510974538</v>
      </c>
      <c r="N37" s="123">
        <f t="shared" si="6"/>
        <v>0.29850746268656714</v>
      </c>
      <c r="P37" s="123">
        <f t="shared" si="10"/>
        <v>0.29850746268656714</v>
      </c>
      <c r="R37" s="123">
        <f t="shared" si="10"/>
        <v>0.15</v>
      </c>
      <c r="S37" s="123">
        <f t="shared" si="10"/>
        <v>0.82440737489025462</v>
      </c>
      <c r="T37" s="123">
        <f t="shared" si="10"/>
        <v>0.70149253731343286</v>
      </c>
      <c r="U37" s="123">
        <f t="shared" si="8"/>
        <v>0.85</v>
      </c>
      <c r="V37" s="123">
        <f t="shared" si="10"/>
        <v>0.70149253731343286</v>
      </c>
      <c r="W37" s="375">
        <v>0.75</v>
      </c>
      <c r="X37" s="375">
        <v>0.5</v>
      </c>
      <c r="Y37" s="375">
        <v>0.5</v>
      </c>
      <c r="Z37" s="375">
        <v>0.05</v>
      </c>
      <c r="AA37" s="124">
        <v>0.3</v>
      </c>
    </row>
    <row r="38" spans="1:27">
      <c r="A38" s="9">
        <v>36</v>
      </c>
      <c r="B38" s="1" t="s">
        <v>141</v>
      </c>
      <c r="C38" s="1" t="s">
        <v>489</v>
      </c>
      <c r="E38" s="96">
        <f t="shared" si="2"/>
        <v>0.1</v>
      </c>
      <c r="G38" s="96">
        <f t="shared" si="3"/>
        <v>0.15</v>
      </c>
      <c r="I38" s="96">
        <f t="shared" si="9"/>
        <v>0.4</v>
      </c>
      <c r="J38" s="96">
        <f t="shared" si="9"/>
        <v>0.35</v>
      </c>
      <c r="L38" s="123">
        <f t="shared" si="5"/>
        <v>0.17559262510974538</v>
      </c>
      <c r="N38" s="123">
        <f t="shared" si="6"/>
        <v>0.29850746268656714</v>
      </c>
      <c r="P38" s="123">
        <f t="shared" si="10"/>
        <v>0.29850746268656714</v>
      </c>
      <c r="R38" s="123">
        <f t="shared" si="10"/>
        <v>0.15</v>
      </c>
      <c r="S38" s="123">
        <f t="shared" si="10"/>
        <v>0.82440737489025462</v>
      </c>
      <c r="T38" s="123">
        <f t="shared" si="10"/>
        <v>0.70149253731343286</v>
      </c>
      <c r="U38" s="123">
        <f t="shared" si="8"/>
        <v>0.85</v>
      </c>
      <c r="V38" s="123">
        <f t="shared" si="10"/>
        <v>0.70149253731343286</v>
      </c>
      <c r="W38" s="375">
        <v>0.75</v>
      </c>
      <c r="X38" s="375">
        <v>0.5</v>
      </c>
      <c r="Y38" s="375">
        <v>0.5</v>
      </c>
      <c r="Z38" s="375">
        <v>0.05</v>
      </c>
      <c r="AA38" s="124">
        <v>0.3</v>
      </c>
    </row>
    <row r="39" spans="1:27">
      <c r="A39" s="9">
        <v>37</v>
      </c>
      <c r="B39" s="1" t="s">
        <v>493</v>
      </c>
      <c r="C39" s="1" t="s">
        <v>494</v>
      </c>
      <c r="E39" s="96">
        <f t="shared" si="2"/>
        <v>0.1</v>
      </c>
      <c r="G39" s="96">
        <f t="shared" si="3"/>
        <v>0.15</v>
      </c>
      <c r="I39" s="96">
        <f t="shared" si="9"/>
        <v>0.4</v>
      </c>
      <c r="J39" s="96">
        <f t="shared" si="9"/>
        <v>0.35</v>
      </c>
      <c r="L39" s="123">
        <f t="shared" si="5"/>
        <v>0.17559262510974538</v>
      </c>
      <c r="N39" s="123">
        <f t="shared" si="6"/>
        <v>0.29850746268656714</v>
      </c>
      <c r="P39" s="123">
        <f t="shared" si="10"/>
        <v>0.29850746268656714</v>
      </c>
      <c r="R39" s="123">
        <f t="shared" si="10"/>
        <v>0.15</v>
      </c>
      <c r="S39" s="123">
        <f t="shared" si="10"/>
        <v>0.82440737489025462</v>
      </c>
      <c r="T39" s="123">
        <f t="shared" si="10"/>
        <v>0.70149253731343286</v>
      </c>
      <c r="U39" s="123">
        <f t="shared" si="8"/>
        <v>0.85</v>
      </c>
      <c r="V39" s="123">
        <f t="shared" si="10"/>
        <v>0.70149253731343286</v>
      </c>
      <c r="W39" s="375">
        <v>0.75</v>
      </c>
      <c r="X39" s="375">
        <v>0.5</v>
      </c>
      <c r="Y39" s="375">
        <v>0.5</v>
      </c>
      <c r="Z39" s="375">
        <v>0.05</v>
      </c>
      <c r="AA39" s="124">
        <v>0.3</v>
      </c>
    </row>
    <row r="40" spans="1:27">
      <c r="A40" s="9">
        <v>38</v>
      </c>
      <c r="B40" s="1" t="s">
        <v>498</v>
      </c>
      <c r="C40" s="1" t="s">
        <v>499</v>
      </c>
      <c r="E40" s="96">
        <f t="shared" si="2"/>
        <v>0.1</v>
      </c>
      <c r="G40" s="96">
        <f t="shared" si="3"/>
        <v>0.15</v>
      </c>
      <c r="I40" s="96">
        <f t="shared" si="9"/>
        <v>0.4</v>
      </c>
      <c r="J40" s="96">
        <f t="shared" si="9"/>
        <v>0.35</v>
      </c>
      <c r="L40" s="123">
        <f t="shared" si="5"/>
        <v>0.17559262510974538</v>
      </c>
      <c r="N40" s="123">
        <f t="shared" si="6"/>
        <v>0.29850746268656714</v>
      </c>
      <c r="P40" s="123">
        <f t="shared" si="10"/>
        <v>0.29850746268656714</v>
      </c>
      <c r="R40" s="123">
        <f t="shared" si="10"/>
        <v>0.15</v>
      </c>
      <c r="S40" s="123">
        <f t="shared" si="10"/>
        <v>0.82440737489025462</v>
      </c>
      <c r="T40" s="123">
        <f t="shared" si="10"/>
        <v>0.70149253731343286</v>
      </c>
      <c r="U40" s="123">
        <f t="shared" si="8"/>
        <v>0.85</v>
      </c>
      <c r="V40" s="123">
        <f t="shared" si="10"/>
        <v>0.70149253731343286</v>
      </c>
      <c r="W40" s="375">
        <v>0.75</v>
      </c>
      <c r="X40" s="375">
        <v>0.5</v>
      </c>
      <c r="Y40" s="375">
        <v>0.5</v>
      </c>
      <c r="Z40" s="375">
        <v>0.05</v>
      </c>
      <c r="AA40" s="124">
        <v>0.3</v>
      </c>
    </row>
    <row r="41" spans="1:27">
      <c r="A41" s="9">
        <v>39</v>
      </c>
      <c r="B41" s="1" t="s">
        <v>503</v>
      </c>
      <c r="C41" s="1" t="s">
        <v>504</v>
      </c>
      <c r="E41" s="96">
        <f t="shared" si="2"/>
        <v>0.1</v>
      </c>
      <c r="G41" s="96">
        <f t="shared" si="3"/>
        <v>0.15</v>
      </c>
      <c r="I41" s="96">
        <f t="shared" si="9"/>
        <v>0.4</v>
      </c>
      <c r="J41" s="96">
        <f t="shared" si="9"/>
        <v>0.35</v>
      </c>
      <c r="L41" s="123">
        <f t="shared" si="5"/>
        <v>0.17559262510974538</v>
      </c>
      <c r="N41" s="123">
        <f t="shared" si="6"/>
        <v>0.29850746268656714</v>
      </c>
      <c r="P41" s="123">
        <f t="shared" si="10"/>
        <v>0.29850746268656714</v>
      </c>
      <c r="R41" s="123">
        <f t="shared" si="10"/>
        <v>0.15</v>
      </c>
      <c r="S41" s="123">
        <f t="shared" si="10"/>
        <v>0.82440737489025462</v>
      </c>
      <c r="T41" s="123">
        <f t="shared" si="10"/>
        <v>0.70149253731343286</v>
      </c>
      <c r="U41" s="123">
        <f t="shared" si="8"/>
        <v>0.85</v>
      </c>
      <c r="V41" s="123">
        <f t="shared" si="10"/>
        <v>0.70149253731343286</v>
      </c>
      <c r="W41" s="375">
        <v>0.75</v>
      </c>
      <c r="X41" s="375">
        <v>0.5</v>
      </c>
      <c r="Y41" s="375">
        <v>0.5</v>
      </c>
      <c r="Z41" s="375">
        <v>0.05</v>
      </c>
      <c r="AA41" s="124">
        <v>0.3</v>
      </c>
    </row>
    <row r="42" spans="1:27">
      <c r="A42" s="9">
        <v>40</v>
      </c>
      <c r="B42" s="1" t="s">
        <v>508</v>
      </c>
      <c r="C42" s="1" t="s">
        <v>509</v>
      </c>
      <c r="E42" s="96">
        <f t="shared" si="2"/>
        <v>0.1</v>
      </c>
      <c r="G42" s="96">
        <f t="shared" si="3"/>
        <v>0.15</v>
      </c>
      <c r="I42" s="96">
        <f t="shared" si="9"/>
        <v>0.4</v>
      </c>
      <c r="J42" s="96">
        <f t="shared" si="9"/>
        <v>0.35</v>
      </c>
      <c r="L42" s="123">
        <f t="shared" si="5"/>
        <v>0.17559262510974538</v>
      </c>
      <c r="N42" s="123">
        <f t="shared" si="6"/>
        <v>0.29850746268656714</v>
      </c>
      <c r="P42" s="123">
        <f t="shared" si="10"/>
        <v>0.29850746268656714</v>
      </c>
      <c r="R42" s="123">
        <f t="shared" si="10"/>
        <v>0.15</v>
      </c>
      <c r="S42" s="123">
        <f t="shared" si="10"/>
        <v>0.82440737489025462</v>
      </c>
      <c r="T42" s="123">
        <f t="shared" si="10"/>
        <v>0.70149253731343286</v>
      </c>
      <c r="U42" s="123">
        <f t="shared" si="8"/>
        <v>0.85</v>
      </c>
      <c r="V42" s="123">
        <f t="shared" si="10"/>
        <v>0.70149253731343286</v>
      </c>
      <c r="W42" s="375">
        <v>0.75</v>
      </c>
      <c r="X42" s="375">
        <v>0.5</v>
      </c>
      <c r="Y42" s="375">
        <v>0.5</v>
      </c>
      <c r="Z42" s="375">
        <v>0.05</v>
      </c>
      <c r="AA42" s="124">
        <v>0.3</v>
      </c>
    </row>
    <row r="43" spans="1:27">
      <c r="A43" s="9">
        <v>41</v>
      </c>
      <c r="B43" s="1" t="s">
        <v>513</v>
      </c>
      <c r="C43" s="1" t="s">
        <v>514</v>
      </c>
      <c r="E43" s="96">
        <f t="shared" si="2"/>
        <v>0.1</v>
      </c>
      <c r="G43" s="96">
        <f t="shared" si="3"/>
        <v>0.15</v>
      </c>
      <c r="I43" s="96">
        <f t="shared" si="9"/>
        <v>0.4</v>
      </c>
      <c r="J43" s="96">
        <f t="shared" si="9"/>
        <v>0.35</v>
      </c>
      <c r="L43" s="123">
        <f t="shared" si="5"/>
        <v>0.17559262510974538</v>
      </c>
      <c r="N43" s="123">
        <f t="shared" si="6"/>
        <v>0.29850746268656714</v>
      </c>
      <c r="P43" s="123">
        <f t="shared" si="10"/>
        <v>0.29850746268656714</v>
      </c>
      <c r="R43" s="123">
        <f t="shared" si="10"/>
        <v>0.15</v>
      </c>
      <c r="S43" s="123">
        <f t="shared" si="10"/>
        <v>0.82440737489025462</v>
      </c>
      <c r="T43" s="123">
        <f t="shared" si="10"/>
        <v>0.70149253731343286</v>
      </c>
      <c r="U43" s="123">
        <f t="shared" si="8"/>
        <v>0.85</v>
      </c>
      <c r="V43" s="123">
        <f t="shared" si="10"/>
        <v>0.70149253731343286</v>
      </c>
      <c r="W43" s="375">
        <v>0.75</v>
      </c>
      <c r="X43" s="375">
        <v>0.5</v>
      </c>
      <c r="Y43" s="375">
        <v>0.5</v>
      </c>
      <c r="Z43" s="375">
        <v>0.05</v>
      </c>
      <c r="AA43" s="124">
        <v>0.3</v>
      </c>
    </row>
    <row r="44" spans="1:27">
      <c r="A44" s="9">
        <v>42</v>
      </c>
      <c r="B44" s="1" t="s">
        <v>518</v>
      </c>
      <c r="C44" s="1" t="s">
        <v>519</v>
      </c>
      <c r="E44" s="96">
        <f t="shared" si="2"/>
        <v>0.1</v>
      </c>
      <c r="G44" s="96">
        <f t="shared" si="3"/>
        <v>0.15</v>
      </c>
      <c r="I44" s="96">
        <f t="shared" si="9"/>
        <v>0.4</v>
      </c>
      <c r="J44" s="96">
        <f t="shared" si="9"/>
        <v>0.35</v>
      </c>
      <c r="L44" s="123">
        <f t="shared" si="5"/>
        <v>0.17559262510974538</v>
      </c>
      <c r="N44" s="123">
        <f t="shared" si="6"/>
        <v>0.29850746268656714</v>
      </c>
      <c r="P44" s="123">
        <f t="shared" si="10"/>
        <v>0.29850746268656714</v>
      </c>
      <c r="R44" s="123">
        <f t="shared" si="10"/>
        <v>0.15</v>
      </c>
      <c r="S44" s="123">
        <f t="shared" si="10"/>
        <v>0.82440737489025462</v>
      </c>
      <c r="T44" s="123">
        <f t="shared" si="10"/>
        <v>0.70149253731343286</v>
      </c>
      <c r="U44" s="123">
        <f t="shared" si="8"/>
        <v>0.85</v>
      </c>
      <c r="V44" s="123">
        <f t="shared" si="10"/>
        <v>0.70149253731343286</v>
      </c>
      <c r="W44" s="375">
        <v>0.75</v>
      </c>
      <c r="X44" s="375">
        <v>0.5</v>
      </c>
      <c r="Y44" s="375">
        <v>0.5</v>
      </c>
      <c r="Z44" s="375">
        <v>0.05</v>
      </c>
      <c r="AA44" s="124">
        <v>0.3</v>
      </c>
    </row>
    <row r="45" spans="1:27">
      <c r="A45" s="9">
        <v>43</v>
      </c>
      <c r="B45" s="1" t="s">
        <v>523</v>
      </c>
      <c r="C45" s="1" t="s">
        <v>524</v>
      </c>
      <c r="E45" s="96">
        <f t="shared" si="2"/>
        <v>0.1</v>
      </c>
      <c r="G45" s="96">
        <f t="shared" si="3"/>
        <v>0.15</v>
      </c>
      <c r="I45" s="96">
        <f t="shared" si="9"/>
        <v>0.4</v>
      </c>
      <c r="J45" s="96">
        <f t="shared" si="9"/>
        <v>0.35</v>
      </c>
      <c r="L45" s="123">
        <f t="shared" si="5"/>
        <v>0.17559262510974538</v>
      </c>
      <c r="N45" s="123">
        <f t="shared" si="6"/>
        <v>0.29850746268656714</v>
      </c>
      <c r="P45" s="123">
        <f t="shared" si="10"/>
        <v>0.29850746268656714</v>
      </c>
      <c r="R45" s="123">
        <f t="shared" si="10"/>
        <v>0.15</v>
      </c>
      <c r="S45" s="123">
        <f t="shared" si="10"/>
        <v>0.82440737489025462</v>
      </c>
      <c r="T45" s="123">
        <f t="shared" si="10"/>
        <v>0.70149253731343286</v>
      </c>
      <c r="U45" s="123">
        <f t="shared" si="8"/>
        <v>0.85</v>
      </c>
      <c r="V45" s="123">
        <f t="shared" si="10"/>
        <v>0.70149253731343286</v>
      </c>
      <c r="W45" s="375">
        <v>0.75</v>
      </c>
      <c r="X45" s="375">
        <v>0.5</v>
      </c>
      <c r="Y45" s="375">
        <v>0.5</v>
      </c>
      <c r="Z45" s="375">
        <v>0.05</v>
      </c>
      <c r="AA45" s="124">
        <v>0.3</v>
      </c>
    </row>
    <row r="46" spans="1:27">
      <c r="A46" s="9">
        <v>44</v>
      </c>
      <c r="B46" s="1" t="s">
        <v>528</v>
      </c>
      <c r="C46" s="1" t="s">
        <v>529</v>
      </c>
      <c r="E46" s="96">
        <f t="shared" si="2"/>
        <v>0.1</v>
      </c>
      <c r="G46" s="96">
        <f t="shared" si="3"/>
        <v>0.15</v>
      </c>
      <c r="I46" s="96">
        <f t="shared" si="9"/>
        <v>0.4</v>
      </c>
      <c r="J46" s="96">
        <f t="shared" si="9"/>
        <v>0.35</v>
      </c>
      <c r="L46" s="123">
        <f t="shared" si="5"/>
        <v>0.17559262510974538</v>
      </c>
      <c r="N46" s="123">
        <f t="shared" si="6"/>
        <v>0.29850746268656714</v>
      </c>
      <c r="P46" s="123">
        <f t="shared" si="10"/>
        <v>0.29850746268656714</v>
      </c>
      <c r="R46" s="123">
        <f t="shared" si="10"/>
        <v>0.15</v>
      </c>
      <c r="S46" s="123">
        <f t="shared" si="10"/>
        <v>0.82440737489025462</v>
      </c>
      <c r="T46" s="123">
        <f t="shared" si="10"/>
        <v>0.70149253731343286</v>
      </c>
      <c r="U46" s="123">
        <f t="shared" si="8"/>
        <v>0.85</v>
      </c>
      <c r="V46" s="123">
        <f t="shared" si="10"/>
        <v>0.70149253731343286</v>
      </c>
      <c r="W46" s="375">
        <v>0.75</v>
      </c>
      <c r="X46" s="375">
        <v>0.5</v>
      </c>
      <c r="Y46" s="375">
        <v>0.5</v>
      </c>
      <c r="Z46" s="375">
        <v>0.05</v>
      </c>
      <c r="AA46" s="124">
        <v>0.3</v>
      </c>
    </row>
    <row r="47" spans="1:27">
      <c r="A47" s="9">
        <v>45</v>
      </c>
      <c r="B47" s="1" t="s">
        <v>533</v>
      </c>
      <c r="C47" s="1" t="s">
        <v>534</v>
      </c>
      <c r="E47" s="96">
        <f t="shared" si="2"/>
        <v>0.1</v>
      </c>
      <c r="G47" s="96">
        <f t="shared" si="3"/>
        <v>0.15</v>
      </c>
      <c r="I47" s="96">
        <f t="shared" si="9"/>
        <v>0.4</v>
      </c>
      <c r="J47" s="96">
        <f t="shared" si="9"/>
        <v>0.35</v>
      </c>
      <c r="L47" s="123">
        <f t="shared" si="5"/>
        <v>0.17559262510974538</v>
      </c>
      <c r="N47" s="123">
        <f t="shared" si="6"/>
        <v>0.29850746268656714</v>
      </c>
      <c r="P47" s="123">
        <f t="shared" si="10"/>
        <v>0.29850746268656714</v>
      </c>
      <c r="R47" s="123">
        <f t="shared" si="10"/>
        <v>0.15</v>
      </c>
      <c r="S47" s="123">
        <f t="shared" si="10"/>
        <v>0.82440737489025462</v>
      </c>
      <c r="T47" s="123">
        <f t="shared" si="10"/>
        <v>0.70149253731343286</v>
      </c>
      <c r="U47" s="123">
        <f t="shared" si="8"/>
        <v>0.85</v>
      </c>
      <c r="V47" s="123">
        <f t="shared" si="10"/>
        <v>0.70149253731343286</v>
      </c>
      <c r="W47" s="375">
        <v>0.75</v>
      </c>
      <c r="X47" s="375">
        <v>0.5</v>
      </c>
      <c r="Y47" s="375">
        <v>0.5</v>
      </c>
      <c r="Z47" s="375">
        <v>0.05</v>
      </c>
      <c r="AA47" s="124">
        <v>0.3</v>
      </c>
    </row>
    <row r="48" spans="1:27">
      <c r="A48" s="9">
        <v>46</v>
      </c>
      <c r="B48" s="1" t="s">
        <v>538</v>
      </c>
      <c r="C48" s="1" t="s">
        <v>539</v>
      </c>
      <c r="E48" s="96">
        <f t="shared" si="2"/>
        <v>0.1</v>
      </c>
      <c r="G48" s="96">
        <f t="shared" si="3"/>
        <v>0.15</v>
      </c>
      <c r="I48" s="96">
        <f t="shared" si="9"/>
        <v>0.4</v>
      </c>
      <c r="J48" s="96">
        <f t="shared" si="9"/>
        <v>0.35</v>
      </c>
      <c r="L48" s="123">
        <f t="shared" si="5"/>
        <v>0.17559262510974538</v>
      </c>
      <c r="N48" s="123">
        <f t="shared" si="6"/>
        <v>0.29850746268656714</v>
      </c>
      <c r="P48" s="123">
        <f t="shared" si="10"/>
        <v>0.29850746268656714</v>
      </c>
      <c r="R48" s="123">
        <f t="shared" si="10"/>
        <v>0.15</v>
      </c>
      <c r="S48" s="123">
        <f t="shared" si="10"/>
        <v>0.82440737489025462</v>
      </c>
      <c r="T48" s="123">
        <f t="shared" si="10"/>
        <v>0.70149253731343286</v>
      </c>
      <c r="U48" s="123">
        <f t="shared" si="8"/>
        <v>0.85</v>
      </c>
      <c r="V48" s="123">
        <f t="shared" si="10"/>
        <v>0.70149253731343286</v>
      </c>
      <c r="W48" s="375">
        <v>0.75</v>
      </c>
      <c r="X48" s="375">
        <v>0.5</v>
      </c>
      <c r="Y48" s="375">
        <v>0.5</v>
      </c>
      <c r="Z48" s="375">
        <v>0.05</v>
      </c>
      <c r="AA48" s="124">
        <v>0.3</v>
      </c>
    </row>
    <row r="49" spans="1:27">
      <c r="A49" s="9">
        <v>47</v>
      </c>
      <c r="B49" s="1" t="s">
        <v>543</v>
      </c>
      <c r="C49" s="1" t="s">
        <v>544</v>
      </c>
      <c r="E49" s="96">
        <f t="shared" si="2"/>
        <v>0.1</v>
      </c>
      <c r="G49" s="96">
        <f t="shared" si="3"/>
        <v>0.15</v>
      </c>
      <c r="I49" s="96">
        <f t="shared" si="9"/>
        <v>0.4</v>
      </c>
      <c r="J49" s="96">
        <f t="shared" si="9"/>
        <v>0.35</v>
      </c>
      <c r="L49" s="123">
        <f t="shared" si="5"/>
        <v>0.17559262510974538</v>
      </c>
      <c r="N49" s="123">
        <f t="shared" si="6"/>
        <v>0.29850746268656714</v>
      </c>
      <c r="P49" s="123">
        <f t="shared" si="10"/>
        <v>0.29850746268656714</v>
      </c>
      <c r="R49" s="123">
        <f t="shared" si="10"/>
        <v>0.15</v>
      </c>
      <c r="S49" s="123">
        <f t="shared" si="10"/>
        <v>0.82440737489025462</v>
      </c>
      <c r="T49" s="123">
        <f t="shared" si="10"/>
        <v>0.70149253731343286</v>
      </c>
      <c r="U49" s="123">
        <f t="shared" si="8"/>
        <v>0.85</v>
      </c>
      <c r="V49" s="123">
        <f t="shared" si="10"/>
        <v>0.70149253731343286</v>
      </c>
      <c r="W49" s="375">
        <v>0.75</v>
      </c>
      <c r="X49" s="375">
        <v>0.5</v>
      </c>
      <c r="Y49" s="375">
        <v>0.5</v>
      </c>
      <c r="Z49" s="375">
        <v>0.05</v>
      </c>
      <c r="AA49" s="124">
        <v>0.3</v>
      </c>
    </row>
    <row r="50" spans="1:27">
      <c r="A50" s="9">
        <v>48</v>
      </c>
      <c r="B50" s="1" t="s">
        <v>548</v>
      </c>
      <c r="C50" s="1" t="s">
        <v>549</v>
      </c>
      <c r="E50" s="96">
        <f t="shared" si="2"/>
        <v>0.1</v>
      </c>
      <c r="G50" s="96">
        <f t="shared" si="3"/>
        <v>0.15</v>
      </c>
      <c r="I50" s="96">
        <f t="shared" si="9"/>
        <v>0.4</v>
      </c>
      <c r="J50" s="96">
        <f t="shared" si="9"/>
        <v>0.35</v>
      </c>
      <c r="L50" s="123">
        <f t="shared" si="5"/>
        <v>0.17559262510974538</v>
      </c>
      <c r="N50" s="123">
        <f t="shared" si="6"/>
        <v>0.29850746268656714</v>
      </c>
      <c r="P50" s="123">
        <f t="shared" si="10"/>
        <v>0.29850746268656714</v>
      </c>
      <c r="R50" s="123">
        <f t="shared" si="10"/>
        <v>0.15</v>
      </c>
      <c r="S50" s="123">
        <f t="shared" si="10"/>
        <v>0.82440737489025462</v>
      </c>
      <c r="T50" s="123">
        <f t="shared" si="10"/>
        <v>0.70149253731343286</v>
      </c>
      <c r="U50" s="123">
        <f t="shared" si="8"/>
        <v>0.85</v>
      </c>
      <c r="V50" s="123">
        <f t="shared" si="10"/>
        <v>0.70149253731343286</v>
      </c>
      <c r="W50" s="375">
        <v>0.75</v>
      </c>
      <c r="X50" s="375">
        <v>0.5</v>
      </c>
      <c r="Y50" s="375">
        <v>0.5</v>
      </c>
      <c r="Z50" s="375">
        <v>0.05</v>
      </c>
      <c r="AA50" s="124">
        <v>0.3</v>
      </c>
    </row>
    <row r="51" spans="1:27">
      <c r="A51" s="9">
        <v>49</v>
      </c>
      <c r="B51" s="1" t="s">
        <v>553</v>
      </c>
      <c r="C51" s="1" t="s">
        <v>554</v>
      </c>
      <c r="E51" s="96">
        <f t="shared" si="2"/>
        <v>0.1</v>
      </c>
      <c r="G51" s="96">
        <f t="shared" si="3"/>
        <v>0.15</v>
      </c>
      <c r="I51" s="96">
        <f t="shared" si="9"/>
        <v>0.4</v>
      </c>
      <c r="J51" s="96">
        <f t="shared" si="9"/>
        <v>0.35</v>
      </c>
      <c r="L51" s="123">
        <f t="shared" si="5"/>
        <v>0.17559262510974538</v>
      </c>
      <c r="N51" s="123">
        <f t="shared" si="6"/>
        <v>0.29850746268656714</v>
      </c>
      <c r="P51" s="123">
        <f t="shared" si="10"/>
        <v>0.29850746268656714</v>
      </c>
      <c r="R51" s="123">
        <f t="shared" si="10"/>
        <v>0.15</v>
      </c>
      <c r="S51" s="123">
        <f t="shared" si="10"/>
        <v>0.82440737489025462</v>
      </c>
      <c r="T51" s="123">
        <f t="shared" si="10"/>
        <v>0.70149253731343286</v>
      </c>
      <c r="U51" s="123">
        <f t="shared" si="8"/>
        <v>0.85</v>
      </c>
      <c r="V51" s="123">
        <f t="shared" si="10"/>
        <v>0.70149253731343286</v>
      </c>
      <c r="W51" s="375">
        <v>0.75</v>
      </c>
      <c r="X51" s="375">
        <v>0.5</v>
      </c>
      <c r="Y51" s="375">
        <v>0.5</v>
      </c>
      <c r="Z51" s="375">
        <v>0.05</v>
      </c>
      <c r="AA51" s="124">
        <v>0.3</v>
      </c>
    </row>
    <row r="52" spans="1:27">
      <c r="A52" s="13">
        <v>50</v>
      </c>
      <c r="B52" s="14" t="s">
        <v>558</v>
      </c>
      <c r="C52" s="14" t="s">
        <v>559</v>
      </c>
      <c r="D52" s="14"/>
      <c r="E52" s="284">
        <f t="shared" si="2"/>
        <v>0.1</v>
      </c>
      <c r="F52" s="14"/>
      <c r="G52" s="284">
        <f t="shared" si="3"/>
        <v>0.15</v>
      </c>
      <c r="H52" s="14"/>
      <c r="I52" s="284">
        <f t="shared" si="9"/>
        <v>0.4</v>
      </c>
      <c r="J52" s="284">
        <f t="shared" si="9"/>
        <v>0.35</v>
      </c>
      <c r="K52" s="14"/>
      <c r="L52" s="125">
        <f t="shared" si="5"/>
        <v>0.17559262510974538</v>
      </c>
      <c r="M52" s="14"/>
      <c r="N52" s="125">
        <f t="shared" si="6"/>
        <v>0.29850746268656714</v>
      </c>
      <c r="O52" s="14"/>
      <c r="P52" s="125">
        <f t="shared" si="10"/>
        <v>0.29850746268656714</v>
      </c>
      <c r="Q52" s="14"/>
      <c r="R52" s="125">
        <f t="shared" si="10"/>
        <v>0.15</v>
      </c>
      <c r="S52" s="125">
        <f t="shared" si="10"/>
        <v>0.82440737489025462</v>
      </c>
      <c r="T52" s="125">
        <f t="shared" si="10"/>
        <v>0.70149253731343286</v>
      </c>
      <c r="U52" s="125">
        <f t="shared" si="8"/>
        <v>0.85</v>
      </c>
      <c r="V52" s="125">
        <f t="shared" si="10"/>
        <v>0.70149253731343286</v>
      </c>
      <c r="W52" s="375">
        <v>0.75</v>
      </c>
      <c r="X52" s="375">
        <v>0.5</v>
      </c>
      <c r="Y52" s="375">
        <v>0.5</v>
      </c>
      <c r="Z52" s="375">
        <v>0.05</v>
      </c>
      <c r="AA52" s="127">
        <v>0.3</v>
      </c>
    </row>
    <row r="53" spans="1:27">
      <c r="A53" s="4"/>
      <c r="B53" s="4"/>
      <c r="C53" s="4"/>
      <c r="D53" s="4"/>
      <c r="E53" s="4"/>
      <c r="F53" s="4"/>
      <c r="G53" s="4"/>
      <c r="H53" s="4"/>
      <c r="I53" s="4"/>
      <c r="J53" s="4"/>
      <c r="K53" s="4"/>
      <c r="L53" s="4"/>
      <c r="M53" s="4"/>
      <c r="N53" s="4"/>
      <c r="O53" s="4"/>
      <c r="P53" s="4"/>
      <c r="Q53" s="4"/>
      <c r="R53" s="4"/>
      <c r="S53" s="4"/>
      <c r="T53" s="4"/>
      <c r="U53" s="4"/>
      <c r="V53" s="4"/>
    </row>
    <row r="54" spans="1:27">
      <c r="A54" s="4"/>
      <c r="B54" s="4"/>
      <c r="C54" s="4"/>
      <c r="D54" s="4"/>
      <c r="E54" s="4"/>
      <c r="F54" s="4"/>
      <c r="G54" s="4"/>
      <c r="H54" s="4"/>
      <c r="I54" s="4"/>
      <c r="J54" s="4"/>
      <c r="K54" s="4"/>
      <c r="L54" s="4"/>
      <c r="M54" s="4"/>
      <c r="N54" s="4"/>
      <c r="O54" s="4"/>
      <c r="P54" s="4"/>
      <c r="Q54" s="4"/>
      <c r="R54" s="4"/>
      <c r="S54" s="4"/>
      <c r="T54" s="4"/>
      <c r="U54" s="4"/>
      <c r="V54" s="4"/>
    </row>
    <row r="55" spans="1:27">
      <c r="A55" s="4"/>
      <c r="B55" s="4"/>
      <c r="C55" s="4"/>
      <c r="D55" s="4"/>
      <c r="E55" s="4"/>
      <c r="F55" s="4"/>
      <c r="G55" s="4"/>
      <c r="H55" s="4"/>
      <c r="I55" s="4"/>
      <c r="J55" s="4"/>
      <c r="K55" s="4"/>
      <c r="L55" s="4"/>
      <c r="M55" s="4"/>
      <c r="N55" s="4"/>
      <c r="O55" s="4"/>
      <c r="P55" s="4"/>
      <c r="Q55" s="4"/>
      <c r="R55" s="4"/>
      <c r="S55" s="4"/>
      <c r="T55" s="4"/>
      <c r="U55" s="4"/>
      <c r="V55" s="4"/>
    </row>
    <row r="56" spans="1:27">
      <c r="A56" s="4"/>
      <c r="B56" s="4"/>
      <c r="C56" s="4"/>
      <c r="D56" s="4"/>
      <c r="E56" s="4"/>
      <c r="F56" s="4"/>
      <c r="G56" s="4"/>
      <c r="H56" s="4"/>
      <c r="I56" s="4"/>
      <c r="J56" s="4"/>
      <c r="K56" s="4"/>
      <c r="L56" s="4"/>
      <c r="M56" s="4"/>
      <c r="N56" s="4"/>
      <c r="O56" s="4"/>
      <c r="P56" s="4"/>
      <c r="Q56" s="4"/>
      <c r="R56" s="4"/>
      <c r="S56" s="4"/>
      <c r="T56" s="4"/>
      <c r="U56" s="4"/>
      <c r="V56" s="4"/>
    </row>
    <row r="57" spans="1:27">
      <c r="A57" s="4"/>
      <c r="B57" s="4"/>
      <c r="C57" s="4"/>
      <c r="D57" s="4"/>
      <c r="E57" s="4"/>
      <c r="F57" s="4"/>
      <c r="G57" s="4"/>
      <c r="H57" s="4"/>
      <c r="I57" s="4"/>
      <c r="J57" s="4"/>
      <c r="K57" s="4"/>
      <c r="L57" s="4"/>
      <c r="M57" s="4"/>
      <c r="N57" s="4"/>
      <c r="O57" s="4"/>
      <c r="P57" s="4"/>
      <c r="Q57" s="4"/>
      <c r="R57" s="4"/>
      <c r="S57" s="4"/>
      <c r="T57" s="4"/>
      <c r="U57" s="4"/>
      <c r="V57" s="4"/>
    </row>
    <row r="58" spans="1:27">
      <c r="A58" s="4"/>
      <c r="B58" s="4"/>
      <c r="C58" s="4"/>
      <c r="D58" s="4"/>
      <c r="E58" s="4"/>
      <c r="F58" s="4"/>
      <c r="G58" s="4"/>
      <c r="H58" s="4"/>
      <c r="I58" s="4"/>
      <c r="J58" s="4"/>
      <c r="K58" s="4"/>
      <c r="L58" s="4"/>
      <c r="M58" s="4"/>
      <c r="N58" s="4"/>
      <c r="O58" s="4"/>
      <c r="P58" s="4"/>
      <c r="Q58" s="4"/>
      <c r="R58" s="4"/>
      <c r="S58" s="4"/>
      <c r="T58" s="4"/>
      <c r="U58" s="4"/>
      <c r="V58" s="4"/>
    </row>
    <row r="59" spans="1:27">
      <c r="A59" s="4"/>
      <c r="B59" s="4"/>
      <c r="C59" s="4"/>
      <c r="D59" s="4"/>
      <c r="E59" s="4"/>
      <c r="F59" s="4"/>
      <c r="G59" s="4"/>
      <c r="H59" s="4"/>
      <c r="I59" s="4"/>
      <c r="J59" s="4"/>
      <c r="K59" s="4"/>
      <c r="L59" s="4"/>
      <c r="M59" s="4"/>
      <c r="N59" s="4"/>
      <c r="O59" s="4"/>
      <c r="P59" s="4"/>
      <c r="Q59" s="4"/>
      <c r="R59" s="4"/>
      <c r="S59" s="4"/>
      <c r="T59" s="4"/>
      <c r="U59" s="4"/>
      <c r="V59" s="4"/>
    </row>
    <row r="60" spans="1:27">
      <c r="A60" s="4"/>
      <c r="B60" s="4"/>
      <c r="C60" s="4"/>
      <c r="D60" s="4"/>
      <c r="E60" s="4"/>
      <c r="F60" s="4"/>
      <c r="G60" s="4"/>
      <c r="H60" s="4"/>
      <c r="I60" s="4"/>
      <c r="J60" s="4"/>
      <c r="K60" s="4"/>
      <c r="L60" s="4"/>
      <c r="M60" s="4"/>
      <c r="N60" s="4"/>
      <c r="O60" s="4"/>
      <c r="P60" s="4"/>
      <c r="Q60" s="4"/>
      <c r="R60" s="4"/>
      <c r="S60" s="4"/>
      <c r="T60" s="4"/>
      <c r="U60" s="4"/>
      <c r="V60" s="4"/>
    </row>
    <row r="61" spans="1:27">
      <c r="A61" s="4"/>
      <c r="B61" s="4"/>
      <c r="C61" s="4"/>
      <c r="D61" s="4"/>
      <c r="E61" s="4"/>
      <c r="F61" s="4"/>
      <c r="G61" s="4"/>
      <c r="H61" s="4"/>
      <c r="I61" s="4"/>
      <c r="J61" s="4"/>
      <c r="K61" s="4"/>
      <c r="L61" s="4"/>
      <c r="M61" s="4"/>
      <c r="N61" s="4"/>
      <c r="O61" s="4"/>
      <c r="P61" s="4"/>
      <c r="Q61" s="4"/>
      <c r="R61" s="4"/>
      <c r="S61" s="4"/>
      <c r="T61" s="4"/>
      <c r="U61" s="4"/>
      <c r="V61" s="4"/>
    </row>
    <row r="62" spans="1:27">
      <c r="A62" s="4"/>
      <c r="B62" s="4"/>
      <c r="C62" s="4"/>
      <c r="D62" s="4"/>
      <c r="E62" s="4"/>
      <c r="F62" s="4"/>
      <c r="G62" s="4"/>
      <c r="H62" s="4"/>
      <c r="I62" s="4"/>
      <c r="J62" s="4"/>
      <c r="K62" s="4"/>
      <c r="L62" s="4"/>
      <c r="M62" s="4"/>
      <c r="N62" s="4"/>
      <c r="O62" s="4"/>
      <c r="P62" s="4"/>
      <c r="Q62" s="4"/>
      <c r="R62" s="4"/>
      <c r="S62" s="4"/>
      <c r="T62" s="4"/>
      <c r="U62" s="4"/>
      <c r="V62" s="4"/>
    </row>
    <row r="63" spans="1:27">
      <c r="A63" s="4"/>
      <c r="B63" s="4"/>
      <c r="C63" s="4"/>
      <c r="D63" s="4"/>
      <c r="E63" s="4"/>
      <c r="F63" s="4"/>
      <c r="G63" s="4"/>
      <c r="H63" s="4"/>
      <c r="I63" s="4"/>
      <c r="J63" s="4"/>
      <c r="K63" s="4"/>
      <c r="L63" s="4"/>
      <c r="M63" s="4"/>
      <c r="N63" s="4"/>
      <c r="O63" s="4"/>
      <c r="P63" s="4"/>
      <c r="Q63" s="4"/>
      <c r="R63" s="4"/>
      <c r="S63" s="4"/>
      <c r="T63" s="4"/>
      <c r="U63" s="4"/>
      <c r="V63" s="4"/>
    </row>
    <row r="64" spans="1:27">
      <c r="A64" s="4"/>
      <c r="B64" s="4"/>
      <c r="C64" s="4"/>
      <c r="D64" s="4"/>
      <c r="E64" s="4"/>
      <c r="F64" s="4"/>
      <c r="G64" s="4"/>
      <c r="H64" s="4"/>
      <c r="I64" s="4"/>
      <c r="J64" s="4"/>
      <c r="K64" s="4"/>
      <c r="L64" s="4"/>
      <c r="M64" s="4"/>
      <c r="N64" s="4"/>
      <c r="O64" s="4"/>
      <c r="P64" s="4"/>
      <c r="Q64" s="4"/>
      <c r="R64" s="4"/>
      <c r="S64" s="4"/>
      <c r="T64" s="4"/>
      <c r="U64" s="4"/>
      <c r="V64" s="4"/>
    </row>
    <row r="65" spans="1:22">
      <c r="A65" s="4"/>
      <c r="B65" s="4"/>
      <c r="C65" s="4"/>
      <c r="D65" s="4"/>
      <c r="E65" s="4"/>
      <c r="F65" s="4"/>
      <c r="G65" s="4"/>
      <c r="H65" s="4"/>
      <c r="I65" s="4"/>
      <c r="J65" s="4"/>
      <c r="K65" s="4"/>
      <c r="L65" s="4"/>
      <c r="M65" s="4"/>
      <c r="N65" s="4"/>
      <c r="O65" s="4"/>
      <c r="P65" s="4"/>
      <c r="Q65" s="4"/>
      <c r="R65" s="4"/>
      <c r="S65" s="4"/>
      <c r="T65" s="4"/>
      <c r="U65" s="4"/>
      <c r="V65" s="4"/>
    </row>
    <row r="66" spans="1:22">
      <c r="A66" s="4"/>
      <c r="B66" s="4"/>
      <c r="C66" s="4"/>
      <c r="D66" s="4"/>
      <c r="E66" s="4"/>
      <c r="F66" s="4"/>
      <c r="G66" s="4"/>
      <c r="H66" s="4"/>
      <c r="I66" s="4"/>
      <c r="J66" s="4"/>
      <c r="K66" s="4"/>
      <c r="L66" s="4"/>
      <c r="M66" s="4"/>
      <c r="N66" s="4"/>
      <c r="O66" s="4"/>
      <c r="P66" s="4"/>
      <c r="Q66" s="4"/>
      <c r="R66" s="4"/>
      <c r="S66" s="4"/>
      <c r="T66" s="4"/>
      <c r="U66" s="4"/>
      <c r="V66" s="4"/>
    </row>
    <row r="67" spans="1:22">
      <c r="A67" s="4"/>
      <c r="B67" s="4"/>
      <c r="C67" s="4"/>
      <c r="D67" s="4"/>
      <c r="E67" s="4"/>
      <c r="F67" s="4"/>
      <c r="G67" s="4"/>
      <c r="H67" s="4"/>
      <c r="I67" s="4"/>
      <c r="J67" s="4"/>
      <c r="K67" s="4"/>
      <c r="L67" s="4"/>
      <c r="M67" s="4"/>
      <c r="N67" s="4"/>
      <c r="O67" s="4"/>
      <c r="P67" s="4"/>
      <c r="Q67" s="4"/>
      <c r="R67" s="4"/>
      <c r="S67" s="4"/>
      <c r="T67" s="4"/>
      <c r="U67" s="4"/>
      <c r="V67" s="4"/>
    </row>
    <row r="68" spans="1:22">
      <c r="A68" s="4"/>
      <c r="B68" s="4"/>
      <c r="C68" s="4"/>
      <c r="D68" s="4"/>
      <c r="E68" s="4"/>
      <c r="F68" s="4"/>
      <c r="G68" s="4"/>
      <c r="H68" s="4"/>
      <c r="I68" s="4"/>
      <c r="J68" s="4"/>
      <c r="K68" s="4"/>
      <c r="L68" s="4"/>
      <c r="M68" s="4"/>
      <c r="N68" s="4"/>
      <c r="O68" s="4"/>
      <c r="P68" s="4"/>
      <c r="Q68" s="4"/>
      <c r="R68" s="4"/>
      <c r="S68" s="4"/>
      <c r="T68" s="4"/>
      <c r="U68" s="4"/>
      <c r="V68" s="4"/>
    </row>
    <row r="69" spans="1:22">
      <c r="A69" s="4"/>
      <c r="B69" s="4"/>
      <c r="C69" s="4"/>
      <c r="D69" s="4"/>
      <c r="E69" s="4"/>
      <c r="F69" s="4"/>
      <c r="G69" s="4"/>
      <c r="H69" s="4"/>
      <c r="I69" s="4"/>
      <c r="J69" s="4"/>
      <c r="K69" s="4"/>
      <c r="L69" s="4"/>
      <c r="M69" s="4"/>
      <c r="N69" s="4"/>
      <c r="O69" s="4"/>
      <c r="P69" s="4"/>
      <c r="Q69" s="4"/>
      <c r="R69" s="4"/>
      <c r="S69" s="4"/>
      <c r="T69" s="4"/>
      <c r="U69" s="4"/>
      <c r="V69" s="4"/>
    </row>
    <row r="70" spans="1:22">
      <c r="A70" s="4"/>
      <c r="B70" s="4"/>
      <c r="C70" s="4"/>
      <c r="D70" s="4"/>
      <c r="E70" s="4"/>
      <c r="F70" s="4"/>
      <c r="G70" s="4"/>
      <c r="H70" s="4"/>
      <c r="I70" s="4"/>
      <c r="J70" s="4"/>
      <c r="K70" s="4"/>
      <c r="L70" s="4"/>
      <c r="M70" s="4"/>
      <c r="N70" s="4"/>
      <c r="O70" s="4"/>
      <c r="P70" s="4"/>
      <c r="Q70" s="4"/>
      <c r="R70" s="4"/>
      <c r="S70" s="4"/>
      <c r="T70" s="4"/>
      <c r="U70" s="4"/>
      <c r="V70" s="4"/>
    </row>
    <row r="71" spans="1:22">
      <c r="A71" s="4"/>
      <c r="B71" s="4"/>
      <c r="C71" s="4"/>
      <c r="D71" s="4"/>
      <c r="E71" s="4"/>
      <c r="F71" s="4"/>
      <c r="G71" s="4"/>
      <c r="H71" s="4"/>
      <c r="I71" s="4"/>
      <c r="J71" s="4"/>
      <c r="K71" s="4"/>
      <c r="L71" s="4"/>
      <c r="M71" s="4"/>
      <c r="N71" s="4"/>
      <c r="O71" s="4"/>
      <c r="P71" s="4"/>
      <c r="Q71" s="4"/>
      <c r="R71" s="4"/>
      <c r="S71" s="4"/>
      <c r="T71" s="4"/>
      <c r="U71" s="4"/>
      <c r="V71" s="4"/>
    </row>
    <row r="72" spans="1:22">
      <c r="A72" s="4"/>
      <c r="B72" s="4"/>
      <c r="C72" s="4"/>
      <c r="D72" s="4"/>
      <c r="E72" s="4"/>
      <c r="F72" s="4"/>
      <c r="G72" s="4"/>
      <c r="H72" s="4"/>
      <c r="I72" s="4"/>
      <c r="J72" s="4"/>
      <c r="K72" s="4"/>
      <c r="L72" s="4"/>
      <c r="M72" s="4"/>
      <c r="N72" s="4"/>
      <c r="O72" s="4"/>
      <c r="P72" s="4"/>
      <c r="Q72" s="4"/>
      <c r="R72" s="4"/>
      <c r="S72" s="4"/>
      <c r="T72" s="4"/>
      <c r="U72" s="4"/>
      <c r="V72" s="4"/>
    </row>
    <row r="73" spans="1:22">
      <c r="A73" s="4"/>
      <c r="B73" s="4"/>
      <c r="C73" s="4"/>
      <c r="D73" s="4"/>
      <c r="E73" s="4"/>
      <c r="F73" s="4"/>
      <c r="G73" s="4"/>
      <c r="H73" s="4"/>
      <c r="I73" s="4"/>
      <c r="J73" s="4"/>
      <c r="K73" s="4"/>
      <c r="L73" s="4"/>
      <c r="M73" s="4"/>
      <c r="N73" s="4"/>
      <c r="O73" s="4"/>
      <c r="P73" s="4"/>
      <c r="Q73" s="4"/>
      <c r="R73" s="4"/>
      <c r="S73" s="4"/>
      <c r="T73" s="4"/>
      <c r="U73" s="4"/>
      <c r="V73" s="4"/>
    </row>
    <row r="74" spans="1:22">
      <c r="A74" s="4"/>
      <c r="B74" s="4"/>
      <c r="C74" s="4"/>
      <c r="D74" s="4"/>
      <c r="E74" s="4"/>
      <c r="F74" s="4"/>
      <c r="G74" s="4"/>
      <c r="H74" s="4"/>
      <c r="I74" s="4"/>
      <c r="J74" s="4"/>
      <c r="K74" s="4"/>
      <c r="L74" s="4"/>
      <c r="M74" s="4"/>
      <c r="N74" s="4"/>
      <c r="O74" s="4"/>
      <c r="P74" s="4"/>
      <c r="Q74" s="4"/>
      <c r="R74" s="4"/>
      <c r="S74" s="4"/>
      <c r="T74" s="4"/>
      <c r="U74" s="4"/>
      <c r="V74" s="4"/>
    </row>
    <row r="75" spans="1:22">
      <c r="A75" s="4"/>
      <c r="B75" s="4"/>
      <c r="C75" s="4"/>
      <c r="D75" s="4"/>
      <c r="E75" s="4"/>
      <c r="F75" s="4"/>
      <c r="G75" s="4"/>
      <c r="H75" s="4"/>
      <c r="I75" s="4"/>
      <c r="J75" s="4"/>
      <c r="K75" s="4"/>
      <c r="L75" s="4"/>
      <c r="M75" s="4"/>
      <c r="N75" s="4"/>
      <c r="O75" s="4"/>
      <c r="P75" s="4"/>
      <c r="Q75" s="4"/>
      <c r="R75" s="4"/>
      <c r="S75" s="4"/>
      <c r="T75" s="4"/>
      <c r="U75" s="4"/>
      <c r="V75" s="4"/>
    </row>
    <row r="76" spans="1:22">
      <c r="A76" s="4"/>
      <c r="B76" s="4"/>
      <c r="C76" s="4"/>
      <c r="D76" s="4"/>
      <c r="E76" s="4"/>
      <c r="F76" s="4"/>
      <c r="G76" s="4"/>
      <c r="H76" s="4"/>
      <c r="I76" s="4"/>
      <c r="J76" s="4"/>
      <c r="K76" s="4"/>
      <c r="L76" s="4"/>
      <c r="M76" s="4"/>
      <c r="N76" s="4"/>
      <c r="O76" s="4"/>
      <c r="P76" s="4"/>
      <c r="Q76" s="4"/>
      <c r="R76" s="4"/>
      <c r="S76" s="4"/>
      <c r="T76" s="4"/>
      <c r="U76" s="4"/>
      <c r="V76" s="4"/>
    </row>
    <row r="77" spans="1:22">
      <c r="A77" s="4"/>
      <c r="B77" s="4"/>
      <c r="C77" s="4"/>
      <c r="D77" s="4"/>
      <c r="E77" s="4"/>
      <c r="F77" s="4"/>
      <c r="G77" s="4"/>
      <c r="H77" s="4"/>
      <c r="I77" s="4"/>
      <c r="J77" s="4"/>
      <c r="K77" s="4"/>
      <c r="L77" s="4"/>
      <c r="M77" s="4"/>
      <c r="N77" s="4"/>
      <c r="O77" s="4"/>
      <c r="P77" s="4"/>
      <c r="Q77" s="4"/>
      <c r="R77" s="4"/>
      <c r="S77" s="4"/>
      <c r="T77" s="4"/>
      <c r="U77" s="4"/>
      <c r="V77" s="4"/>
    </row>
    <row r="78" spans="1:22">
      <c r="A78" s="4"/>
      <c r="B78" s="4"/>
      <c r="C78" s="4"/>
      <c r="D78" s="4"/>
      <c r="E78" s="4"/>
      <c r="F78" s="4"/>
      <c r="G78" s="4"/>
      <c r="H78" s="4"/>
      <c r="I78" s="4"/>
      <c r="J78" s="4"/>
      <c r="K78" s="4"/>
      <c r="L78" s="4"/>
      <c r="M78" s="4"/>
      <c r="N78" s="4"/>
      <c r="O78" s="4"/>
      <c r="P78" s="4"/>
      <c r="Q78" s="4"/>
      <c r="R78" s="4"/>
      <c r="S78" s="4"/>
      <c r="T78" s="4"/>
      <c r="U78" s="4"/>
      <c r="V78" s="4"/>
    </row>
    <row r="79" spans="1:22">
      <c r="A79" s="4"/>
      <c r="B79" s="4"/>
      <c r="C79" s="4"/>
      <c r="D79" s="4"/>
      <c r="E79" s="4"/>
      <c r="F79" s="4"/>
      <c r="G79" s="4"/>
      <c r="H79" s="4"/>
      <c r="I79" s="4"/>
      <c r="J79" s="4"/>
      <c r="K79" s="4"/>
      <c r="L79" s="4"/>
      <c r="M79" s="4"/>
      <c r="N79" s="4"/>
      <c r="O79" s="4"/>
      <c r="P79" s="4"/>
      <c r="Q79" s="4"/>
      <c r="R79" s="4"/>
      <c r="S79" s="4"/>
      <c r="T79" s="4"/>
      <c r="U79" s="4"/>
      <c r="V79" s="4"/>
    </row>
    <row r="80" spans="1:22">
      <c r="A80" s="4"/>
      <c r="B80" s="4"/>
      <c r="C80" s="4"/>
      <c r="D80" s="4"/>
      <c r="E80" s="4"/>
      <c r="F80" s="4"/>
      <c r="G80" s="4"/>
      <c r="H80" s="4"/>
      <c r="I80" s="4"/>
      <c r="J80" s="4"/>
      <c r="K80" s="4"/>
      <c r="L80" s="4"/>
      <c r="M80" s="4"/>
      <c r="N80" s="4"/>
      <c r="O80" s="4"/>
      <c r="P80" s="4"/>
      <c r="Q80" s="4"/>
      <c r="R80" s="4"/>
      <c r="S80" s="4"/>
      <c r="T80" s="4"/>
      <c r="U80" s="4"/>
      <c r="V80" s="4"/>
    </row>
    <row r="81" spans="1:22">
      <c r="A81" s="4"/>
      <c r="B81" s="4"/>
      <c r="C81" s="4"/>
      <c r="D81" s="4"/>
      <c r="E81" s="4"/>
      <c r="F81" s="4"/>
      <c r="G81" s="4"/>
      <c r="H81" s="4"/>
      <c r="I81" s="4"/>
      <c r="J81" s="4"/>
      <c r="K81" s="4"/>
      <c r="L81" s="4"/>
      <c r="M81" s="4"/>
      <c r="N81" s="4"/>
      <c r="O81" s="4"/>
      <c r="P81" s="4"/>
      <c r="Q81" s="4"/>
      <c r="R81" s="4"/>
      <c r="S81" s="4"/>
      <c r="T81" s="4"/>
      <c r="U81" s="4"/>
      <c r="V81" s="4"/>
    </row>
    <row r="82" spans="1:22">
      <c r="A82" s="4"/>
      <c r="B82" s="4"/>
      <c r="C82" s="4"/>
      <c r="D82" s="4"/>
      <c r="E82" s="4"/>
      <c r="F82" s="4"/>
      <c r="G82" s="4"/>
      <c r="H82" s="4"/>
      <c r="I82" s="4"/>
      <c r="J82" s="4"/>
      <c r="K82" s="4"/>
      <c r="L82" s="4"/>
      <c r="M82" s="4"/>
      <c r="N82" s="4"/>
      <c r="O82" s="4"/>
      <c r="P82" s="4"/>
      <c r="Q82" s="4"/>
      <c r="R82" s="4"/>
      <c r="S82" s="4"/>
      <c r="T82" s="4"/>
      <c r="U82" s="4"/>
      <c r="V82" s="4"/>
    </row>
    <row r="83" spans="1:22">
      <c r="A83" s="4"/>
      <c r="B83" s="4"/>
      <c r="C83" s="4"/>
      <c r="D83" s="4"/>
      <c r="E83" s="4"/>
      <c r="F83" s="4"/>
      <c r="G83" s="4"/>
      <c r="H83" s="4"/>
      <c r="I83" s="4"/>
      <c r="J83" s="4"/>
      <c r="K83" s="4"/>
      <c r="L83" s="4"/>
      <c r="M83" s="4"/>
      <c r="N83" s="4"/>
      <c r="O83" s="4"/>
      <c r="P83" s="4"/>
      <c r="Q83" s="4"/>
      <c r="R83" s="4"/>
      <c r="S83" s="4"/>
      <c r="T83" s="4"/>
      <c r="U83" s="4"/>
      <c r="V83" s="4"/>
    </row>
    <row r="84" spans="1:22">
      <c r="A84" s="4"/>
      <c r="B84" s="4"/>
      <c r="C84" s="4"/>
      <c r="D84" s="4"/>
      <c r="E84" s="4"/>
      <c r="F84" s="4"/>
      <c r="G84" s="4"/>
      <c r="H84" s="4"/>
      <c r="I84" s="4"/>
      <c r="J84" s="4"/>
      <c r="K84" s="4"/>
      <c r="L84" s="4"/>
      <c r="M84" s="4"/>
      <c r="N84" s="4"/>
      <c r="O84" s="4"/>
      <c r="P84" s="4"/>
      <c r="Q84" s="4"/>
      <c r="R84" s="4"/>
      <c r="S84" s="4"/>
      <c r="T84" s="4"/>
      <c r="U84" s="4"/>
      <c r="V84" s="4"/>
    </row>
    <row r="85" spans="1:22">
      <c r="A85" s="4"/>
      <c r="B85" s="4"/>
      <c r="C85" s="4"/>
      <c r="D85" s="4"/>
      <c r="E85" s="4"/>
      <c r="F85" s="4"/>
      <c r="G85" s="4"/>
      <c r="H85" s="4"/>
      <c r="I85" s="4"/>
      <c r="J85" s="4"/>
      <c r="K85" s="4"/>
      <c r="L85" s="4"/>
      <c r="M85" s="4"/>
      <c r="N85" s="4"/>
      <c r="O85" s="4"/>
      <c r="P85" s="4"/>
      <c r="Q85" s="4"/>
      <c r="R85" s="4"/>
      <c r="S85" s="4"/>
      <c r="T85" s="4"/>
      <c r="U85" s="4"/>
      <c r="V85" s="4"/>
    </row>
    <row r="86" spans="1:22">
      <c r="A86" s="4"/>
      <c r="B86" s="4"/>
      <c r="C86" s="4"/>
      <c r="D86" s="4"/>
      <c r="E86" s="4"/>
      <c r="F86" s="4"/>
      <c r="G86" s="4"/>
      <c r="H86" s="4"/>
      <c r="I86" s="4"/>
      <c r="J86" s="4"/>
      <c r="K86" s="4"/>
      <c r="L86" s="4"/>
      <c r="M86" s="4"/>
      <c r="N86" s="4"/>
      <c r="O86" s="4"/>
      <c r="P86" s="4"/>
      <c r="Q86" s="4"/>
      <c r="R86" s="4"/>
      <c r="S86" s="4"/>
      <c r="T86" s="4"/>
      <c r="U86" s="4"/>
      <c r="V86" s="4"/>
    </row>
    <row r="87" spans="1:22">
      <c r="A87" s="4"/>
      <c r="B87" s="4"/>
      <c r="C87" s="4"/>
      <c r="D87" s="4"/>
      <c r="E87" s="4"/>
      <c r="F87" s="4"/>
      <c r="G87" s="4"/>
      <c r="H87" s="4"/>
      <c r="I87" s="4"/>
      <c r="J87" s="4"/>
      <c r="K87" s="4"/>
      <c r="L87" s="4"/>
      <c r="M87" s="4"/>
      <c r="N87" s="4"/>
      <c r="O87" s="4"/>
      <c r="P87" s="4"/>
      <c r="Q87" s="4"/>
      <c r="R87" s="4"/>
      <c r="S87" s="4"/>
      <c r="T87" s="4"/>
      <c r="U87" s="4"/>
      <c r="V87" s="4"/>
    </row>
    <row r="88" spans="1:22">
      <c r="A88" s="4"/>
      <c r="B88" s="4"/>
      <c r="C88" s="4"/>
      <c r="D88" s="4"/>
      <c r="E88" s="4"/>
      <c r="F88" s="4"/>
      <c r="G88" s="4"/>
      <c r="H88" s="4"/>
      <c r="I88" s="4"/>
      <c r="J88" s="4"/>
      <c r="K88" s="4"/>
      <c r="L88" s="4"/>
      <c r="M88" s="4"/>
      <c r="N88" s="4"/>
      <c r="O88" s="4"/>
      <c r="P88" s="4"/>
      <c r="Q88" s="4"/>
      <c r="R88" s="4"/>
      <c r="S88" s="4"/>
      <c r="T88" s="4"/>
      <c r="U88" s="4"/>
      <c r="V88" s="4"/>
    </row>
    <row r="89" spans="1:22">
      <c r="A89" s="4"/>
      <c r="B89" s="4"/>
      <c r="C89" s="4"/>
      <c r="D89" s="4"/>
      <c r="E89" s="4"/>
      <c r="F89" s="4"/>
      <c r="G89" s="4"/>
      <c r="H89" s="4"/>
      <c r="I89" s="4"/>
      <c r="J89" s="4"/>
      <c r="K89" s="4"/>
      <c r="L89" s="4"/>
      <c r="M89" s="4"/>
      <c r="N89" s="4"/>
      <c r="O89" s="4"/>
      <c r="P89" s="4"/>
      <c r="Q89" s="4"/>
      <c r="R89" s="4"/>
      <c r="S89" s="4"/>
      <c r="T89" s="4"/>
      <c r="U89" s="4"/>
      <c r="V89" s="4"/>
    </row>
    <row r="90" spans="1:22">
      <c r="A90" s="4"/>
      <c r="B90" s="4"/>
      <c r="C90" s="4"/>
      <c r="D90" s="4"/>
      <c r="E90" s="4"/>
      <c r="F90" s="4"/>
      <c r="G90" s="4"/>
      <c r="H90" s="4"/>
      <c r="I90" s="4"/>
      <c r="J90" s="4"/>
      <c r="K90" s="4"/>
      <c r="L90" s="4"/>
      <c r="M90" s="4"/>
      <c r="N90" s="4"/>
      <c r="O90" s="4"/>
      <c r="P90" s="4"/>
      <c r="Q90" s="4"/>
      <c r="R90" s="4"/>
      <c r="S90" s="4"/>
      <c r="T90" s="4"/>
      <c r="U90" s="4"/>
      <c r="V90" s="4"/>
    </row>
    <row r="91" spans="1:22">
      <c r="A91" s="4"/>
      <c r="B91" s="4"/>
      <c r="C91" s="4"/>
      <c r="D91" s="4"/>
      <c r="E91" s="4"/>
      <c r="F91" s="4"/>
      <c r="G91" s="4"/>
      <c r="H91" s="4"/>
      <c r="I91" s="4"/>
      <c r="J91" s="4"/>
      <c r="K91" s="4"/>
      <c r="L91" s="4"/>
      <c r="M91" s="4"/>
      <c r="N91" s="4"/>
      <c r="O91" s="4"/>
      <c r="P91" s="4"/>
      <c r="Q91" s="4"/>
      <c r="R91" s="4"/>
      <c r="S91" s="4"/>
      <c r="T91" s="4"/>
      <c r="U91" s="4"/>
      <c r="V91" s="4"/>
    </row>
    <row r="92" spans="1:22">
      <c r="A92" s="4"/>
      <c r="B92" s="4"/>
      <c r="C92" s="4"/>
      <c r="D92" s="4"/>
      <c r="E92" s="4"/>
      <c r="F92" s="4"/>
      <c r="G92" s="4"/>
      <c r="H92" s="4"/>
      <c r="I92" s="4"/>
      <c r="J92" s="4"/>
      <c r="K92" s="4"/>
      <c r="L92" s="4"/>
      <c r="M92" s="4"/>
      <c r="N92" s="4"/>
      <c r="O92" s="4"/>
      <c r="P92" s="4"/>
      <c r="Q92" s="4"/>
      <c r="R92" s="4"/>
      <c r="S92" s="4"/>
      <c r="T92" s="4"/>
      <c r="U92" s="4"/>
      <c r="V92" s="4"/>
    </row>
    <row r="93" spans="1:22">
      <c r="A93" s="4"/>
      <c r="B93" s="4"/>
      <c r="C93" s="4"/>
      <c r="D93" s="4"/>
      <c r="E93" s="4"/>
      <c r="F93" s="4"/>
      <c r="G93" s="4"/>
      <c r="H93" s="4"/>
      <c r="I93" s="4"/>
      <c r="J93" s="4"/>
      <c r="K93" s="4"/>
      <c r="L93" s="4"/>
      <c r="M93" s="4"/>
      <c r="N93" s="4"/>
      <c r="O93" s="4"/>
      <c r="P93" s="4"/>
      <c r="Q93" s="4"/>
      <c r="R93" s="4"/>
      <c r="S93" s="4"/>
      <c r="T93" s="4"/>
      <c r="U93" s="4"/>
      <c r="V93" s="4"/>
    </row>
    <row r="94" spans="1:22">
      <c r="A94" s="4"/>
      <c r="B94" s="4"/>
      <c r="C94" s="4"/>
      <c r="D94" s="4"/>
      <c r="E94" s="4"/>
      <c r="F94" s="4"/>
      <c r="G94" s="4"/>
      <c r="H94" s="4"/>
      <c r="I94" s="4"/>
      <c r="J94" s="4"/>
      <c r="K94" s="4"/>
      <c r="L94" s="4"/>
      <c r="M94" s="4"/>
      <c r="N94" s="4"/>
      <c r="O94" s="4"/>
      <c r="P94" s="4"/>
      <c r="Q94" s="4"/>
      <c r="R94" s="4"/>
      <c r="S94" s="4"/>
      <c r="T94" s="4"/>
      <c r="U94" s="4"/>
      <c r="V94" s="4"/>
    </row>
    <row r="95" spans="1:22">
      <c r="A95" s="4"/>
      <c r="B95" s="4"/>
      <c r="C95" s="4"/>
      <c r="D95" s="4"/>
      <c r="E95" s="4"/>
      <c r="F95" s="4"/>
      <c r="G95" s="4"/>
      <c r="H95" s="4"/>
      <c r="I95" s="4"/>
      <c r="J95" s="4"/>
      <c r="K95" s="4"/>
      <c r="L95" s="4"/>
      <c r="M95" s="4"/>
      <c r="N95" s="4"/>
      <c r="O95" s="4"/>
      <c r="P95" s="4"/>
      <c r="Q95" s="4"/>
      <c r="R95" s="4"/>
      <c r="S95" s="4"/>
      <c r="T95" s="4"/>
      <c r="U95" s="4"/>
      <c r="V95" s="4"/>
    </row>
    <row r="96" spans="1:22">
      <c r="A96" s="4"/>
      <c r="B96" s="4"/>
      <c r="C96" s="4"/>
      <c r="D96" s="4"/>
      <c r="E96" s="4"/>
      <c r="F96" s="4"/>
      <c r="G96" s="4"/>
      <c r="H96" s="4"/>
      <c r="I96" s="4"/>
      <c r="J96" s="4"/>
      <c r="K96" s="4"/>
      <c r="L96" s="4"/>
      <c r="M96" s="4"/>
      <c r="N96" s="4"/>
      <c r="O96" s="4"/>
      <c r="P96" s="4"/>
      <c r="Q96" s="4"/>
      <c r="R96" s="4"/>
      <c r="S96" s="4"/>
      <c r="T96" s="4"/>
      <c r="U96" s="4"/>
      <c r="V96" s="4"/>
    </row>
    <row r="97" spans="1:22">
      <c r="A97" s="4"/>
      <c r="B97" s="4"/>
      <c r="C97" s="4"/>
      <c r="D97" s="4"/>
      <c r="E97" s="4"/>
      <c r="F97" s="4"/>
      <c r="G97" s="4"/>
      <c r="H97" s="4"/>
      <c r="I97" s="4"/>
      <c r="J97" s="4"/>
      <c r="K97" s="4"/>
      <c r="L97" s="4"/>
      <c r="M97" s="4"/>
      <c r="N97" s="4"/>
      <c r="O97" s="4"/>
      <c r="P97" s="4"/>
      <c r="Q97" s="4"/>
      <c r="R97" s="4"/>
      <c r="S97" s="4"/>
      <c r="T97" s="4"/>
      <c r="U97" s="4"/>
      <c r="V97" s="4"/>
    </row>
    <row r="98" spans="1:22">
      <c r="A98" s="4"/>
      <c r="B98" s="4"/>
      <c r="C98" s="4"/>
      <c r="D98" s="4"/>
      <c r="E98" s="4"/>
      <c r="F98" s="4"/>
      <c r="G98" s="4"/>
      <c r="H98" s="4"/>
      <c r="I98" s="4"/>
      <c r="J98" s="4"/>
      <c r="K98" s="4"/>
      <c r="L98" s="4"/>
      <c r="M98" s="4"/>
      <c r="N98" s="4"/>
      <c r="O98" s="4"/>
      <c r="P98" s="4"/>
      <c r="Q98" s="4"/>
      <c r="R98" s="4"/>
      <c r="S98" s="4"/>
      <c r="T98" s="4"/>
      <c r="U98" s="4"/>
      <c r="V98" s="4"/>
    </row>
    <row r="99" spans="1:22">
      <c r="A99" s="4"/>
      <c r="B99" s="4"/>
      <c r="C99" s="4"/>
      <c r="D99" s="4"/>
      <c r="E99" s="4"/>
      <c r="F99" s="4"/>
      <c r="G99" s="4"/>
      <c r="H99" s="4"/>
      <c r="I99" s="4"/>
      <c r="J99" s="4"/>
      <c r="K99" s="4"/>
      <c r="L99" s="4"/>
      <c r="M99" s="4"/>
      <c r="N99" s="4"/>
      <c r="O99" s="4"/>
      <c r="P99" s="4"/>
      <c r="Q99" s="4"/>
      <c r="R99" s="4"/>
      <c r="S99" s="4"/>
      <c r="T99" s="4"/>
      <c r="U99" s="4"/>
      <c r="V99" s="4"/>
    </row>
    <row r="100" spans="1:22">
      <c r="A100" s="4"/>
      <c r="B100" s="4"/>
      <c r="C100" s="4"/>
      <c r="D100" s="4"/>
      <c r="E100" s="4"/>
      <c r="F100" s="4"/>
      <c r="G100" s="4"/>
      <c r="H100" s="4"/>
      <c r="I100" s="4"/>
      <c r="J100" s="4"/>
      <c r="K100" s="4"/>
      <c r="L100" s="4"/>
      <c r="M100" s="4"/>
      <c r="N100" s="4"/>
      <c r="O100" s="4"/>
      <c r="P100" s="4"/>
      <c r="Q100" s="4"/>
      <c r="R100" s="4"/>
      <c r="S100" s="4"/>
      <c r="T100" s="4"/>
      <c r="U100" s="4"/>
      <c r="V100" s="4"/>
    </row>
    <row r="101" spans="1:22">
      <c r="A101" s="4"/>
      <c r="B101" s="4"/>
      <c r="C101" s="4"/>
      <c r="D101" s="4"/>
      <c r="E101" s="4"/>
      <c r="F101" s="4"/>
      <c r="G101" s="4"/>
      <c r="H101" s="4"/>
      <c r="I101" s="4"/>
      <c r="J101" s="4"/>
      <c r="K101" s="4"/>
      <c r="L101" s="4"/>
      <c r="M101" s="4"/>
      <c r="N101" s="4"/>
      <c r="O101" s="4"/>
      <c r="P101" s="4"/>
      <c r="Q101" s="4"/>
      <c r="R101" s="4"/>
      <c r="S101" s="4"/>
      <c r="T101" s="4"/>
      <c r="U101" s="4"/>
      <c r="V101" s="4"/>
    </row>
    <row r="102" spans="1:22">
      <c r="A102" s="4"/>
      <c r="B102" s="4"/>
      <c r="C102" s="4"/>
      <c r="D102" s="4"/>
      <c r="E102" s="4"/>
      <c r="F102" s="4"/>
      <c r="G102" s="4"/>
      <c r="H102" s="4"/>
      <c r="I102" s="4"/>
      <c r="J102" s="4"/>
      <c r="K102" s="4"/>
      <c r="L102" s="4"/>
      <c r="M102" s="4"/>
      <c r="N102" s="4"/>
      <c r="O102" s="4"/>
      <c r="P102" s="4"/>
      <c r="Q102" s="4"/>
      <c r="R102" s="4"/>
      <c r="S102" s="4"/>
      <c r="T102" s="4"/>
      <c r="U102" s="4"/>
      <c r="V102" s="4"/>
    </row>
    <row r="103" spans="1:22">
      <c r="A103" s="4"/>
      <c r="B103" s="4"/>
      <c r="C103" s="4"/>
      <c r="D103" s="4"/>
      <c r="E103" s="4"/>
      <c r="F103" s="4"/>
      <c r="G103" s="4"/>
      <c r="H103" s="4"/>
      <c r="I103" s="4"/>
      <c r="J103" s="4"/>
      <c r="K103" s="4"/>
      <c r="L103" s="4"/>
      <c r="M103" s="4"/>
      <c r="N103" s="4"/>
      <c r="O103" s="4"/>
      <c r="P103" s="4"/>
      <c r="Q103" s="4"/>
      <c r="R103" s="4"/>
      <c r="S103" s="4"/>
      <c r="T103" s="4"/>
      <c r="U103" s="4"/>
      <c r="V103" s="4"/>
    </row>
    <row r="104" spans="1:22">
      <c r="A104" s="4"/>
      <c r="B104" s="4"/>
      <c r="C104" s="4"/>
      <c r="D104" s="4"/>
      <c r="E104" s="4"/>
      <c r="F104" s="4"/>
      <c r="G104" s="4"/>
      <c r="H104" s="4"/>
      <c r="I104" s="4"/>
      <c r="J104" s="4"/>
      <c r="K104" s="4"/>
      <c r="L104" s="4"/>
      <c r="M104" s="4"/>
      <c r="N104" s="4"/>
      <c r="O104" s="4"/>
      <c r="P104" s="4"/>
      <c r="Q104" s="4"/>
      <c r="R104" s="4"/>
      <c r="S104" s="4"/>
      <c r="T104" s="4"/>
      <c r="U104" s="4"/>
      <c r="V104" s="4"/>
    </row>
    <row r="105" spans="1:22">
      <c r="A105" s="4"/>
      <c r="B105" s="4"/>
      <c r="C105" s="4"/>
      <c r="D105" s="4"/>
      <c r="E105" s="4"/>
      <c r="F105" s="4"/>
      <c r="G105" s="4"/>
      <c r="H105" s="4"/>
      <c r="I105" s="4"/>
      <c r="J105" s="4"/>
      <c r="K105" s="4"/>
      <c r="L105" s="4"/>
      <c r="M105" s="4"/>
      <c r="N105" s="4"/>
      <c r="O105" s="4"/>
      <c r="P105" s="4"/>
      <c r="Q105" s="4"/>
      <c r="R105" s="4"/>
      <c r="S105" s="4"/>
      <c r="T105" s="4"/>
      <c r="U105" s="4"/>
      <c r="V105" s="4"/>
    </row>
    <row r="106" spans="1:22">
      <c r="A106" s="4"/>
      <c r="B106" s="4"/>
      <c r="C106" s="4"/>
      <c r="D106" s="4"/>
      <c r="E106" s="4"/>
      <c r="F106" s="4"/>
      <c r="G106" s="4"/>
      <c r="H106" s="4"/>
      <c r="I106" s="4"/>
      <c r="J106" s="4"/>
      <c r="K106" s="4"/>
      <c r="L106" s="4"/>
      <c r="M106" s="4"/>
      <c r="N106" s="4"/>
      <c r="O106" s="4"/>
      <c r="P106" s="4"/>
      <c r="Q106" s="4"/>
      <c r="R106" s="4"/>
      <c r="S106" s="4"/>
      <c r="T106" s="4"/>
      <c r="U106" s="4"/>
      <c r="V106" s="4"/>
    </row>
    <row r="107" spans="1:22">
      <c r="A107" s="4"/>
      <c r="B107" s="4"/>
      <c r="C107" s="4"/>
      <c r="D107" s="4"/>
      <c r="E107" s="4"/>
      <c r="F107" s="4"/>
      <c r="G107" s="4"/>
      <c r="H107" s="4"/>
      <c r="I107" s="4"/>
      <c r="J107" s="4"/>
      <c r="K107" s="4"/>
      <c r="L107" s="4"/>
      <c r="M107" s="4"/>
      <c r="N107" s="4"/>
      <c r="O107" s="4"/>
      <c r="P107" s="4"/>
      <c r="Q107" s="4"/>
      <c r="R107" s="4"/>
      <c r="S107" s="4"/>
      <c r="T107" s="4"/>
      <c r="U107" s="4"/>
      <c r="V107" s="4"/>
    </row>
    <row r="108" spans="1:22">
      <c r="A108" s="4"/>
      <c r="B108" s="4"/>
      <c r="C108" s="4"/>
      <c r="D108" s="4"/>
      <c r="E108" s="4"/>
      <c r="F108" s="4"/>
      <c r="G108" s="4"/>
      <c r="H108" s="4"/>
      <c r="I108" s="4"/>
      <c r="J108" s="4"/>
      <c r="K108" s="4"/>
      <c r="L108" s="4"/>
      <c r="M108" s="4"/>
      <c r="N108" s="4"/>
      <c r="O108" s="4"/>
      <c r="P108" s="4"/>
      <c r="Q108" s="4"/>
      <c r="R108" s="4"/>
      <c r="S108" s="4"/>
      <c r="T108" s="4"/>
      <c r="U108" s="4"/>
      <c r="V108" s="4"/>
    </row>
    <row r="109" spans="1:22">
      <c r="A109" s="4"/>
      <c r="B109" s="4"/>
      <c r="C109" s="4"/>
      <c r="D109" s="4"/>
      <c r="E109" s="4"/>
      <c r="F109" s="4"/>
      <c r="G109" s="4"/>
      <c r="H109" s="4"/>
      <c r="I109" s="4"/>
      <c r="J109" s="4"/>
      <c r="K109" s="4"/>
      <c r="L109" s="4"/>
      <c r="M109" s="4"/>
      <c r="N109" s="4"/>
      <c r="O109" s="4"/>
      <c r="P109" s="4"/>
      <c r="Q109" s="4"/>
      <c r="R109" s="4"/>
      <c r="S109" s="4"/>
      <c r="T109" s="4"/>
      <c r="U109" s="4"/>
      <c r="V109" s="4"/>
    </row>
    <row r="110" spans="1:22">
      <c r="A110" s="4"/>
      <c r="B110" s="4"/>
      <c r="C110" s="4"/>
      <c r="D110" s="4"/>
      <c r="E110" s="4"/>
      <c r="F110" s="4"/>
      <c r="G110" s="4"/>
      <c r="H110" s="4"/>
      <c r="I110" s="4"/>
      <c r="J110" s="4"/>
      <c r="K110" s="4"/>
      <c r="L110" s="4"/>
      <c r="M110" s="4"/>
      <c r="N110" s="4"/>
      <c r="O110" s="4"/>
      <c r="P110" s="4"/>
      <c r="Q110" s="4"/>
      <c r="R110" s="4"/>
      <c r="S110" s="4"/>
      <c r="T110" s="4"/>
      <c r="U110" s="4"/>
      <c r="V110" s="4"/>
    </row>
    <row r="111" spans="1:22">
      <c r="A111" s="4"/>
      <c r="B111" s="4"/>
      <c r="C111" s="4"/>
      <c r="D111" s="4"/>
      <c r="E111" s="4"/>
      <c r="F111" s="4"/>
      <c r="G111" s="4"/>
      <c r="H111" s="4"/>
      <c r="I111" s="4"/>
      <c r="J111" s="4"/>
      <c r="K111" s="4"/>
      <c r="L111" s="4"/>
      <c r="M111" s="4"/>
      <c r="N111" s="4"/>
      <c r="O111" s="4"/>
      <c r="P111" s="4"/>
      <c r="Q111" s="4"/>
      <c r="R111" s="4"/>
      <c r="S111" s="4"/>
      <c r="T111" s="4"/>
      <c r="U111" s="4"/>
      <c r="V111" s="4"/>
    </row>
    <row r="112" spans="1:22">
      <c r="A112" s="4"/>
      <c r="B112" s="4"/>
      <c r="C112" s="4"/>
      <c r="D112" s="4"/>
      <c r="E112" s="4"/>
      <c r="F112" s="4"/>
      <c r="G112" s="4"/>
      <c r="H112" s="4"/>
      <c r="I112" s="4"/>
      <c r="J112" s="4"/>
      <c r="K112" s="4"/>
      <c r="L112" s="4"/>
      <c r="M112" s="4"/>
      <c r="N112" s="4"/>
      <c r="O112" s="4"/>
      <c r="P112" s="4"/>
      <c r="Q112" s="4"/>
      <c r="R112" s="4"/>
      <c r="S112" s="4"/>
      <c r="T112" s="4"/>
      <c r="U112" s="4"/>
      <c r="V112" s="4"/>
    </row>
    <row r="113" spans="1:22">
      <c r="A113" s="4"/>
      <c r="B113" s="4"/>
      <c r="C113" s="4"/>
      <c r="D113" s="4"/>
      <c r="E113" s="4"/>
      <c r="F113" s="4"/>
      <c r="G113" s="4"/>
      <c r="H113" s="4"/>
      <c r="I113" s="4"/>
      <c r="J113" s="4"/>
      <c r="K113" s="4"/>
      <c r="L113" s="4"/>
      <c r="M113" s="4"/>
      <c r="N113" s="4"/>
      <c r="O113" s="4"/>
      <c r="P113" s="4"/>
      <c r="Q113" s="4"/>
      <c r="R113" s="4"/>
      <c r="S113" s="4"/>
      <c r="T113" s="4"/>
      <c r="U113" s="4"/>
      <c r="V113" s="4"/>
    </row>
    <row r="114" spans="1:22">
      <c r="A114" s="4"/>
      <c r="B114" s="4"/>
      <c r="C114" s="4"/>
      <c r="D114" s="4"/>
      <c r="E114" s="4"/>
      <c r="F114" s="4"/>
      <c r="G114" s="4"/>
      <c r="H114" s="4"/>
      <c r="I114" s="4"/>
      <c r="J114" s="4"/>
      <c r="K114" s="4"/>
      <c r="L114" s="4"/>
      <c r="M114" s="4"/>
      <c r="N114" s="4"/>
      <c r="O114" s="4"/>
      <c r="P114" s="4"/>
      <c r="Q114" s="4"/>
      <c r="R114" s="4"/>
      <c r="S114" s="4"/>
      <c r="T114" s="4"/>
      <c r="U114" s="4"/>
      <c r="V114" s="4"/>
    </row>
    <row r="115" spans="1:22">
      <c r="A115" s="4"/>
      <c r="B115" s="4"/>
      <c r="C115" s="4"/>
      <c r="D115" s="4"/>
      <c r="E115" s="4"/>
      <c r="F115" s="4"/>
      <c r="G115" s="4"/>
      <c r="H115" s="4"/>
      <c r="I115" s="4"/>
      <c r="J115" s="4"/>
      <c r="K115" s="4"/>
      <c r="L115" s="4"/>
      <c r="M115" s="4"/>
      <c r="N115" s="4"/>
      <c r="O115" s="4"/>
      <c r="P115" s="4"/>
      <c r="Q115" s="4"/>
      <c r="R115" s="4"/>
      <c r="S115" s="4"/>
      <c r="T115" s="4"/>
      <c r="U115" s="4"/>
      <c r="V115" s="4"/>
    </row>
    <row r="116" spans="1:22">
      <c r="A116" s="4"/>
      <c r="B116" s="4"/>
      <c r="C116" s="4"/>
      <c r="D116" s="4"/>
      <c r="E116" s="4"/>
      <c r="F116" s="4"/>
      <c r="G116" s="4"/>
      <c r="H116" s="4"/>
      <c r="I116" s="4"/>
      <c r="J116" s="4"/>
      <c r="K116" s="4"/>
      <c r="L116" s="4"/>
      <c r="M116" s="4"/>
      <c r="N116" s="4"/>
      <c r="O116" s="4"/>
      <c r="P116" s="4"/>
      <c r="Q116" s="4"/>
      <c r="R116" s="4"/>
      <c r="S116" s="4"/>
      <c r="T116" s="4"/>
      <c r="U116" s="4"/>
      <c r="V116" s="4"/>
    </row>
    <row r="117" spans="1:22">
      <c r="A117" s="4"/>
      <c r="B117" s="4"/>
      <c r="C117" s="4"/>
      <c r="D117" s="4"/>
      <c r="E117" s="4"/>
      <c r="F117" s="4"/>
      <c r="G117" s="4"/>
      <c r="H117" s="4"/>
      <c r="I117" s="4"/>
      <c r="J117" s="4"/>
      <c r="K117" s="4"/>
      <c r="L117" s="4"/>
      <c r="M117" s="4"/>
      <c r="N117" s="4"/>
      <c r="O117" s="4"/>
      <c r="P117" s="4"/>
      <c r="Q117" s="4"/>
      <c r="R117" s="4"/>
      <c r="S117" s="4"/>
      <c r="T117" s="4"/>
      <c r="U117" s="4"/>
      <c r="V117" s="4"/>
    </row>
    <row r="118" spans="1:22">
      <c r="A118" s="4"/>
      <c r="B118" s="4"/>
      <c r="C118" s="4"/>
      <c r="D118" s="4"/>
      <c r="E118" s="4"/>
      <c r="F118" s="4"/>
      <c r="G118" s="4"/>
      <c r="H118" s="4"/>
      <c r="I118" s="4"/>
      <c r="J118" s="4"/>
      <c r="K118" s="4"/>
      <c r="L118" s="4"/>
      <c r="M118" s="4"/>
      <c r="N118" s="4"/>
      <c r="O118" s="4"/>
      <c r="P118" s="4"/>
      <c r="Q118" s="4"/>
      <c r="R118" s="4"/>
      <c r="S118" s="4"/>
      <c r="T118" s="4"/>
      <c r="U118" s="4"/>
      <c r="V118" s="4"/>
    </row>
    <row r="119" spans="1:22">
      <c r="A119" s="4"/>
      <c r="B119" s="4"/>
      <c r="C119" s="4"/>
      <c r="D119" s="4"/>
      <c r="E119" s="4"/>
      <c r="F119" s="4"/>
      <c r="G119" s="4"/>
      <c r="H119" s="4"/>
      <c r="I119" s="4"/>
      <c r="J119" s="4"/>
      <c r="K119" s="4"/>
      <c r="L119" s="4"/>
      <c r="M119" s="4"/>
      <c r="N119" s="4"/>
      <c r="O119" s="4"/>
      <c r="P119" s="4"/>
      <c r="Q119" s="4"/>
      <c r="R119" s="4"/>
      <c r="S119" s="4"/>
      <c r="T119" s="4"/>
      <c r="U119" s="4"/>
      <c r="V119" s="4"/>
    </row>
    <row r="120" spans="1:22">
      <c r="A120" s="4"/>
      <c r="B120" s="4"/>
      <c r="C120" s="4"/>
      <c r="D120" s="4"/>
      <c r="E120" s="4"/>
      <c r="F120" s="4"/>
      <c r="G120" s="4"/>
      <c r="H120" s="4"/>
      <c r="I120" s="4"/>
      <c r="J120" s="4"/>
      <c r="K120" s="4"/>
      <c r="L120" s="4"/>
      <c r="M120" s="4"/>
      <c r="N120" s="4"/>
      <c r="O120" s="4"/>
      <c r="P120" s="4"/>
      <c r="Q120" s="4"/>
      <c r="R120" s="4"/>
      <c r="S120" s="4"/>
      <c r="T120" s="4"/>
      <c r="U120" s="4"/>
      <c r="V120" s="4"/>
    </row>
    <row r="121" spans="1:22">
      <c r="A121" s="4"/>
      <c r="B121" s="4"/>
      <c r="C121" s="4"/>
      <c r="D121" s="4"/>
      <c r="E121" s="4"/>
      <c r="F121" s="4"/>
      <c r="G121" s="4"/>
      <c r="H121" s="4"/>
      <c r="I121" s="4"/>
      <c r="J121" s="4"/>
      <c r="K121" s="4"/>
      <c r="L121" s="4"/>
      <c r="M121" s="4"/>
      <c r="N121" s="4"/>
      <c r="O121" s="4"/>
      <c r="P121" s="4"/>
      <c r="Q121" s="4"/>
      <c r="R121" s="4"/>
      <c r="S121" s="4"/>
      <c r="T121" s="4"/>
      <c r="U121" s="4"/>
      <c r="V121" s="4"/>
    </row>
    <row r="122" spans="1:22">
      <c r="A122" s="4"/>
      <c r="B122" s="4"/>
      <c r="C122" s="4"/>
      <c r="D122" s="4"/>
      <c r="E122" s="4"/>
      <c r="F122" s="4"/>
      <c r="G122" s="4"/>
      <c r="H122" s="4"/>
      <c r="I122" s="4"/>
      <c r="J122" s="4"/>
      <c r="K122" s="4"/>
      <c r="L122" s="4"/>
      <c r="M122" s="4"/>
      <c r="N122" s="4"/>
      <c r="O122" s="4"/>
      <c r="P122" s="4"/>
      <c r="Q122" s="4"/>
      <c r="R122" s="4"/>
      <c r="S122" s="4"/>
      <c r="T122" s="4"/>
      <c r="U122" s="4"/>
      <c r="V122" s="4"/>
    </row>
    <row r="123" spans="1:22">
      <c r="A123" s="4"/>
      <c r="B123" s="4"/>
      <c r="C123" s="4"/>
      <c r="D123" s="4"/>
      <c r="E123" s="4"/>
      <c r="F123" s="4"/>
      <c r="G123" s="4"/>
      <c r="H123" s="4"/>
      <c r="I123" s="4"/>
      <c r="J123" s="4"/>
      <c r="K123" s="4"/>
      <c r="L123" s="4"/>
      <c r="M123" s="4"/>
      <c r="N123" s="4"/>
      <c r="O123" s="4"/>
      <c r="P123" s="4"/>
      <c r="Q123" s="4"/>
      <c r="R123" s="4"/>
      <c r="S123" s="4"/>
      <c r="T123" s="4"/>
      <c r="U123" s="4"/>
      <c r="V123" s="4"/>
    </row>
    <row r="124" spans="1:22">
      <c r="A124" s="4"/>
      <c r="B124" s="4"/>
      <c r="C124" s="4"/>
      <c r="D124" s="4"/>
      <c r="E124" s="4"/>
      <c r="F124" s="4"/>
      <c r="G124" s="4"/>
      <c r="H124" s="4"/>
      <c r="I124" s="4"/>
      <c r="J124" s="4"/>
      <c r="K124" s="4"/>
      <c r="L124" s="4"/>
      <c r="M124" s="4"/>
      <c r="N124" s="4"/>
      <c r="O124" s="4"/>
      <c r="P124" s="4"/>
      <c r="Q124" s="4"/>
      <c r="R124" s="4"/>
      <c r="S124" s="4"/>
      <c r="T124" s="4"/>
      <c r="U124" s="4"/>
      <c r="V124" s="4"/>
    </row>
    <row r="125" spans="1:22">
      <c r="A125" s="4"/>
      <c r="B125" s="4"/>
      <c r="C125" s="4"/>
      <c r="D125" s="4"/>
      <c r="E125" s="4"/>
      <c r="F125" s="4"/>
      <c r="G125" s="4"/>
      <c r="H125" s="4"/>
      <c r="I125" s="4"/>
      <c r="J125" s="4"/>
      <c r="K125" s="4"/>
      <c r="L125" s="4"/>
      <c r="M125" s="4"/>
      <c r="N125" s="4"/>
      <c r="O125" s="4"/>
      <c r="P125" s="4"/>
      <c r="Q125" s="4"/>
      <c r="R125" s="4"/>
      <c r="S125" s="4"/>
      <c r="T125" s="4"/>
      <c r="U125" s="4"/>
      <c r="V125" s="4"/>
    </row>
    <row r="126" spans="1:22">
      <c r="A126" s="4"/>
      <c r="B126" s="4"/>
      <c r="C126" s="4"/>
      <c r="D126" s="4"/>
      <c r="E126" s="4"/>
      <c r="F126" s="4"/>
      <c r="G126" s="4"/>
      <c r="H126" s="4"/>
      <c r="I126" s="4"/>
      <c r="J126" s="4"/>
      <c r="K126" s="4"/>
      <c r="L126" s="4"/>
      <c r="M126" s="4"/>
      <c r="N126" s="4"/>
      <c r="O126" s="4"/>
      <c r="P126" s="4"/>
      <c r="Q126" s="4"/>
      <c r="R126" s="4"/>
      <c r="S126" s="4"/>
      <c r="T126" s="4"/>
      <c r="U126" s="4"/>
      <c r="V126" s="4"/>
    </row>
    <row r="127" spans="1:22">
      <c r="A127" s="4"/>
      <c r="B127" s="4"/>
      <c r="C127" s="4"/>
      <c r="D127" s="4"/>
      <c r="E127" s="4"/>
      <c r="F127" s="4"/>
      <c r="G127" s="4"/>
      <c r="H127" s="4"/>
      <c r="I127" s="4"/>
      <c r="J127" s="4"/>
      <c r="K127" s="4"/>
      <c r="L127" s="4"/>
      <c r="M127" s="4"/>
      <c r="N127" s="4"/>
      <c r="O127" s="4"/>
      <c r="P127" s="4"/>
      <c r="Q127" s="4"/>
      <c r="R127" s="4"/>
      <c r="S127" s="4"/>
      <c r="T127" s="4"/>
      <c r="U127" s="4"/>
      <c r="V127" s="4"/>
    </row>
    <row r="128" spans="1:22">
      <c r="A128" s="4"/>
      <c r="B128" s="4"/>
      <c r="C128" s="4"/>
      <c r="D128" s="4"/>
      <c r="E128" s="4"/>
      <c r="F128" s="4"/>
      <c r="G128" s="4"/>
      <c r="H128" s="4"/>
      <c r="I128" s="4"/>
      <c r="J128" s="4"/>
      <c r="K128" s="4"/>
      <c r="L128" s="4"/>
      <c r="M128" s="4"/>
      <c r="N128" s="4"/>
      <c r="O128" s="4"/>
      <c r="P128" s="4"/>
      <c r="Q128" s="4"/>
      <c r="R128" s="4"/>
      <c r="S128" s="4"/>
      <c r="T128" s="4"/>
      <c r="U128" s="4"/>
      <c r="V128" s="4"/>
    </row>
    <row r="129" spans="1:22">
      <c r="A129" s="4"/>
      <c r="B129" s="4"/>
      <c r="C129" s="4"/>
      <c r="D129" s="4"/>
      <c r="E129" s="4"/>
      <c r="F129" s="4"/>
      <c r="G129" s="4"/>
      <c r="H129" s="4"/>
      <c r="I129" s="4"/>
      <c r="J129" s="4"/>
      <c r="K129" s="4"/>
      <c r="L129" s="4"/>
      <c r="M129" s="4"/>
      <c r="N129" s="4"/>
      <c r="O129" s="4"/>
      <c r="P129" s="4"/>
      <c r="Q129" s="4"/>
      <c r="R129" s="4"/>
      <c r="S129" s="4"/>
      <c r="T129" s="4"/>
      <c r="U129" s="4"/>
      <c r="V129" s="4"/>
    </row>
    <row r="130" spans="1:22">
      <c r="A130" s="4"/>
      <c r="B130" s="4"/>
      <c r="C130" s="4"/>
      <c r="D130" s="4"/>
      <c r="E130" s="4"/>
      <c r="F130" s="4"/>
      <c r="G130" s="4"/>
      <c r="H130" s="4"/>
      <c r="I130" s="4"/>
      <c r="J130" s="4"/>
      <c r="K130" s="4"/>
      <c r="L130" s="4"/>
      <c r="M130" s="4"/>
      <c r="N130" s="4"/>
      <c r="O130" s="4"/>
      <c r="P130" s="4"/>
      <c r="Q130" s="4"/>
      <c r="R130" s="4"/>
      <c r="S130" s="4"/>
      <c r="T130" s="4"/>
      <c r="U130" s="4"/>
      <c r="V130" s="4"/>
    </row>
    <row r="131" spans="1:22">
      <c r="A131" s="4"/>
      <c r="B131" s="4"/>
      <c r="C131" s="4"/>
      <c r="D131" s="4"/>
      <c r="E131" s="4"/>
      <c r="F131" s="4"/>
      <c r="G131" s="4"/>
      <c r="H131" s="4"/>
      <c r="I131" s="4"/>
      <c r="J131" s="4"/>
      <c r="K131" s="4"/>
      <c r="L131" s="4"/>
      <c r="M131" s="4"/>
      <c r="N131" s="4"/>
      <c r="O131" s="4"/>
      <c r="P131" s="4"/>
      <c r="Q131" s="4"/>
      <c r="R131" s="4"/>
      <c r="S131" s="4"/>
      <c r="T131" s="4"/>
      <c r="U131" s="4"/>
      <c r="V131" s="4"/>
    </row>
    <row r="132" spans="1:22">
      <c r="A132" s="4"/>
      <c r="B132" s="4"/>
      <c r="C132" s="4"/>
      <c r="D132" s="4"/>
      <c r="E132" s="4"/>
      <c r="F132" s="4"/>
      <c r="G132" s="4"/>
      <c r="H132" s="4"/>
      <c r="I132" s="4"/>
      <c r="J132" s="4"/>
      <c r="K132" s="4"/>
      <c r="L132" s="4"/>
      <c r="M132" s="4"/>
      <c r="N132" s="4"/>
      <c r="O132" s="4"/>
      <c r="P132" s="4"/>
      <c r="Q132" s="4"/>
      <c r="R132" s="4"/>
      <c r="S132" s="4"/>
      <c r="T132" s="4"/>
      <c r="U132" s="4"/>
      <c r="V132" s="4"/>
    </row>
    <row r="133" spans="1:22">
      <c r="A133" s="4"/>
      <c r="B133" s="4"/>
      <c r="C133" s="4"/>
      <c r="D133" s="4"/>
      <c r="E133" s="4"/>
      <c r="F133" s="4"/>
      <c r="G133" s="4"/>
      <c r="H133" s="4"/>
      <c r="I133" s="4"/>
      <c r="J133" s="4"/>
      <c r="K133" s="4"/>
      <c r="L133" s="4"/>
      <c r="M133" s="4"/>
      <c r="N133" s="4"/>
      <c r="O133" s="4"/>
      <c r="P133" s="4"/>
      <c r="Q133" s="4"/>
      <c r="R133" s="4"/>
      <c r="S133" s="4"/>
      <c r="T133" s="4"/>
      <c r="U133" s="4"/>
      <c r="V133" s="4"/>
    </row>
    <row r="134" spans="1:22">
      <c r="A134" s="4"/>
      <c r="B134" s="4"/>
      <c r="C134" s="4"/>
      <c r="D134" s="4"/>
      <c r="E134" s="4"/>
      <c r="F134" s="4"/>
      <c r="G134" s="4"/>
      <c r="H134" s="4"/>
      <c r="I134" s="4"/>
      <c r="J134" s="4"/>
      <c r="K134" s="4"/>
      <c r="L134" s="4"/>
      <c r="M134" s="4"/>
      <c r="N134" s="4"/>
      <c r="O134" s="4"/>
      <c r="P134" s="4"/>
      <c r="Q134" s="4"/>
      <c r="R134" s="4"/>
      <c r="S134" s="4"/>
      <c r="T134" s="4"/>
      <c r="U134" s="4"/>
      <c r="V134" s="4"/>
    </row>
    <row r="135" spans="1:22">
      <c r="A135" s="4"/>
      <c r="B135" s="4"/>
      <c r="C135" s="4"/>
      <c r="D135" s="4"/>
      <c r="E135" s="4"/>
      <c r="F135" s="4"/>
      <c r="G135" s="4"/>
      <c r="H135" s="4"/>
      <c r="I135" s="4"/>
      <c r="J135" s="4"/>
      <c r="K135" s="4"/>
      <c r="L135" s="4"/>
      <c r="M135" s="4"/>
      <c r="N135" s="4"/>
      <c r="O135" s="4"/>
      <c r="P135" s="4"/>
      <c r="Q135" s="4"/>
      <c r="R135" s="4"/>
      <c r="S135" s="4"/>
      <c r="T135" s="4"/>
      <c r="U135" s="4"/>
      <c r="V135" s="4"/>
    </row>
    <row r="136" spans="1:22">
      <c r="A136" s="4"/>
      <c r="B136" s="4"/>
      <c r="C136" s="4"/>
      <c r="D136" s="4"/>
      <c r="E136" s="4"/>
      <c r="F136" s="4"/>
      <c r="G136" s="4"/>
      <c r="H136" s="4"/>
      <c r="I136" s="4"/>
      <c r="J136" s="4"/>
      <c r="K136" s="4"/>
      <c r="L136" s="4"/>
      <c r="M136" s="4"/>
      <c r="N136" s="4"/>
      <c r="O136" s="4"/>
      <c r="P136" s="4"/>
      <c r="Q136" s="4"/>
      <c r="R136" s="4"/>
      <c r="S136" s="4"/>
      <c r="T136" s="4"/>
      <c r="U136" s="4"/>
      <c r="V136" s="4"/>
    </row>
    <row r="137" spans="1:22">
      <c r="A137" s="4"/>
      <c r="B137" s="4"/>
      <c r="C137" s="4"/>
      <c r="D137" s="4"/>
      <c r="E137" s="4"/>
      <c r="F137" s="4"/>
      <c r="G137" s="4"/>
      <c r="H137" s="4"/>
      <c r="I137" s="4"/>
      <c r="J137" s="4"/>
      <c r="K137" s="4"/>
      <c r="L137" s="4"/>
      <c r="M137" s="4"/>
      <c r="N137" s="4"/>
      <c r="O137" s="4"/>
      <c r="P137" s="4"/>
      <c r="Q137" s="4"/>
      <c r="R137" s="4"/>
      <c r="S137" s="4"/>
      <c r="T137" s="4"/>
      <c r="U137" s="4"/>
      <c r="V137" s="4"/>
    </row>
    <row r="138" spans="1:22">
      <c r="A138" s="4"/>
      <c r="B138" s="4"/>
      <c r="C138" s="4"/>
      <c r="D138" s="4"/>
      <c r="E138" s="4"/>
      <c r="F138" s="4"/>
      <c r="G138" s="4"/>
      <c r="H138" s="4"/>
      <c r="I138" s="4"/>
      <c r="J138" s="4"/>
      <c r="K138" s="4"/>
      <c r="L138" s="4"/>
      <c r="M138" s="4"/>
      <c r="N138" s="4"/>
      <c r="O138" s="4"/>
      <c r="P138" s="4"/>
      <c r="Q138" s="4"/>
      <c r="R138" s="4"/>
      <c r="S138" s="4"/>
      <c r="T138" s="4"/>
      <c r="U138" s="4"/>
      <c r="V138" s="4"/>
    </row>
    <row r="139" spans="1:22">
      <c r="A139" s="4"/>
      <c r="B139" s="4"/>
      <c r="C139" s="4"/>
      <c r="D139" s="4"/>
      <c r="E139" s="4"/>
      <c r="F139" s="4"/>
      <c r="G139" s="4"/>
      <c r="H139" s="4"/>
      <c r="I139" s="4"/>
      <c r="J139" s="4"/>
      <c r="K139" s="4"/>
      <c r="L139" s="4"/>
      <c r="M139" s="4"/>
      <c r="N139" s="4"/>
      <c r="O139" s="4"/>
      <c r="P139" s="4"/>
      <c r="Q139" s="4"/>
      <c r="R139" s="4"/>
      <c r="S139" s="4"/>
      <c r="T139" s="4"/>
      <c r="U139" s="4"/>
      <c r="V139" s="4"/>
    </row>
    <row r="140" spans="1:22">
      <c r="A140" s="4"/>
      <c r="B140" s="4"/>
      <c r="C140" s="4"/>
      <c r="D140" s="4"/>
      <c r="E140" s="4"/>
      <c r="F140" s="4"/>
      <c r="G140" s="4"/>
      <c r="H140" s="4"/>
      <c r="I140" s="4"/>
      <c r="J140" s="4"/>
      <c r="K140" s="4"/>
      <c r="L140" s="4"/>
      <c r="M140" s="4"/>
      <c r="N140" s="4"/>
      <c r="O140" s="4"/>
      <c r="P140" s="4"/>
      <c r="Q140" s="4"/>
      <c r="R140" s="4"/>
      <c r="S140" s="4"/>
      <c r="T140" s="4"/>
      <c r="U140" s="4"/>
      <c r="V140" s="4"/>
    </row>
    <row r="141" spans="1:22">
      <c r="A141" s="4"/>
      <c r="B141" s="4"/>
      <c r="C141" s="4"/>
      <c r="D141" s="4"/>
      <c r="E141" s="4"/>
      <c r="F141" s="4"/>
      <c r="G141" s="4"/>
      <c r="H141" s="4"/>
      <c r="I141" s="4"/>
      <c r="J141" s="4"/>
      <c r="K141" s="4"/>
      <c r="L141" s="4"/>
      <c r="M141" s="4"/>
      <c r="N141" s="4"/>
      <c r="O141" s="4"/>
      <c r="P141" s="4"/>
      <c r="Q141" s="4"/>
      <c r="R141" s="4"/>
      <c r="S141" s="4"/>
      <c r="T141" s="4"/>
      <c r="U141" s="4"/>
      <c r="V141" s="4"/>
    </row>
    <row r="142" spans="1:22">
      <c r="A142" s="4"/>
      <c r="B142" s="4"/>
      <c r="C142" s="4"/>
      <c r="D142" s="4"/>
      <c r="E142" s="4"/>
      <c r="F142" s="4"/>
      <c r="G142" s="4"/>
      <c r="H142" s="4"/>
      <c r="I142" s="4"/>
      <c r="J142" s="4"/>
      <c r="K142" s="4"/>
      <c r="L142" s="4"/>
      <c r="M142" s="4"/>
      <c r="N142" s="4"/>
      <c r="O142" s="4"/>
      <c r="P142" s="4"/>
      <c r="Q142" s="4"/>
      <c r="R142" s="4"/>
      <c r="S142" s="4"/>
      <c r="T142" s="4"/>
      <c r="U142" s="4"/>
      <c r="V142" s="4"/>
    </row>
    <row r="143" spans="1:22">
      <c r="A143" s="4"/>
      <c r="B143" s="4"/>
      <c r="C143" s="4"/>
      <c r="D143" s="4"/>
      <c r="E143" s="4"/>
      <c r="F143" s="4"/>
      <c r="G143" s="4"/>
      <c r="H143" s="4"/>
      <c r="I143" s="4"/>
      <c r="J143" s="4"/>
      <c r="K143" s="4"/>
      <c r="L143" s="4"/>
      <c r="M143" s="4"/>
      <c r="N143" s="4"/>
      <c r="O143" s="4"/>
      <c r="P143" s="4"/>
      <c r="Q143" s="4"/>
      <c r="R143" s="4"/>
      <c r="S143" s="4"/>
      <c r="T143" s="4"/>
      <c r="U143" s="4"/>
      <c r="V143" s="4"/>
    </row>
    <row r="144" spans="1:22">
      <c r="A144" s="4"/>
      <c r="B144" s="4"/>
      <c r="C144" s="4"/>
      <c r="D144" s="4"/>
      <c r="E144" s="4"/>
      <c r="F144" s="4"/>
      <c r="G144" s="4"/>
      <c r="H144" s="4"/>
      <c r="I144" s="4"/>
      <c r="J144" s="4"/>
      <c r="K144" s="4"/>
      <c r="L144" s="4"/>
      <c r="M144" s="4"/>
      <c r="N144" s="4"/>
      <c r="O144" s="4"/>
      <c r="P144" s="4"/>
      <c r="Q144" s="4"/>
      <c r="R144" s="4"/>
      <c r="S144" s="4"/>
      <c r="T144" s="4"/>
      <c r="U144" s="4"/>
      <c r="V144" s="4"/>
    </row>
    <row r="145" spans="1:22">
      <c r="A145" s="4"/>
      <c r="B145" s="4"/>
      <c r="C145" s="4"/>
      <c r="D145" s="4"/>
      <c r="E145" s="4"/>
      <c r="F145" s="4"/>
      <c r="G145" s="4"/>
      <c r="H145" s="4"/>
      <c r="I145" s="4"/>
      <c r="J145" s="4"/>
      <c r="K145" s="4"/>
      <c r="L145" s="4"/>
      <c r="M145" s="4"/>
      <c r="N145" s="4"/>
      <c r="O145" s="4"/>
      <c r="P145" s="4"/>
      <c r="Q145" s="4"/>
      <c r="R145" s="4"/>
      <c r="S145" s="4"/>
      <c r="T145" s="4"/>
      <c r="U145" s="4"/>
      <c r="V145" s="4"/>
    </row>
    <row r="146" spans="1:22">
      <c r="A146" s="4"/>
      <c r="B146" s="4"/>
      <c r="C146" s="4"/>
      <c r="D146" s="4"/>
      <c r="E146" s="4"/>
      <c r="F146" s="4"/>
      <c r="G146" s="4"/>
      <c r="H146" s="4"/>
      <c r="I146" s="4"/>
      <c r="J146" s="4"/>
      <c r="K146" s="4"/>
      <c r="L146" s="4"/>
      <c r="M146" s="4"/>
      <c r="N146" s="4"/>
      <c r="O146" s="4"/>
      <c r="P146" s="4"/>
      <c r="Q146" s="4"/>
      <c r="R146" s="4"/>
      <c r="S146" s="4"/>
      <c r="T146" s="4"/>
      <c r="U146" s="4"/>
      <c r="V146" s="4"/>
    </row>
    <row r="147" spans="1:22">
      <c r="A147" s="4"/>
      <c r="B147" s="4"/>
      <c r="C147" s="4"/>
      <c r="D147" s="4"/>
      <c r="F147" s="4"/>
      <c r="H147" s="4"/>
      <c r="K147" s="4"/>
      <c r="M147" s="4"/>
      <c r="O147" s="4"/>
      <c r="Q147" s="4"/>
    </row>
    <row r="148" spans="1:22">
      <c r="A148" s="4"/>
      <c r="B148" s="4"/>
      <c r="C148" s="4"/>
      <c r="D148" s="4"/>
      <c r="F148" s="4"/>
      <c r="H148" s="4"/>
      <c r="K148" s="4"/>
      <c r="M148" s="4"/>
      <c r="O148" s="4"/>
      <c r="Q148" s="4"/>
    </row>
    <row r="149" spans="1:22">
      <c r="A149" s="4"/>
      <c r="B149" s="4"/>
      <c r="C149" s="4"/>
      <c r="D149" s="4"/>
      <c r="F149" s="4"/>
      <c r="H149" s="4"/>
      <c r="K149" s="4"/>
      <c r="M149" s="4"/>
      <c r="O149" s="4"/>
      <c r="Q149" s="4"/>
    </row>
    <row r="150" spans="1:22">
      <c r="A150" s="4"/>
      <c r="B150" s="4"/>
      <c r="C150" s="4"/>
      <c r="D150" s="4"/>
      <c r="F150" s="4"/>
      <c r="H150" s="4"/>
      <c r="K150" s="4"/>
      <c r="M150" s="4"/>
      <c r="O150" s="4"/>
      <c r="Q150" s="4"/>
    </row>
    <row r="151" spans="1:22">
      <c r="A151" s="4"/>
      <c r="B151" s="4"/>
      <c r="C151" s="4"/>
      <c r="D151" s="4"/>
      <c r="F151" s="4"/>
      <c r="H151" s="4"/>
      <c r="K151" s="4"/>
      <c r="M151" s="4"/>
      <c r="O151" s="4"/>
      <c r="Q151" s="4"/>
    </row>
    <row r="152" spans="1:22">
      <c r="A152" s="4"/>
      <c r="B152" s="4"/>
      <c r="C152" s="4"/>
      <c r="D152" s="4"/>
      <c r="F152" s="4"/>
      <c r="H152" s="4"/>
      <c r="K152" s="4"/>
      <c r="M152" s="4"/>
      <c r="O152" s="4"/>
      <c r="Q152" s="4"/>
    </row>
    <row r="153" spans="1:22">
      <c r="A153" s="4"/>
      <c r="B153" s="4"/>
      <c r="C153" s="4"/>
      <c r="D153" s="4"/>
      <c r="F153" s="4"/>
      <c r="H153" s="4"/>
      <c r="K153" s="4"/>
      <c r="M153" s="4"/>
      <c r="O153" s="4"/>
      <c r="Q153" s="4"/>
    </row>
  </sheetData>
  <phoneticPr fontId="6"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CEA4E-ECBA-45E7-A580-8D2BE7BC020C}">
  <sheetPr>
    <tabColor theme="0" tint="-0.249977111117893"/>
  </sheetPr>
  <dimension ref="A1:AZ152"/>
  <sheetViews>
    <sheetView zoomScale="70" zoomScaleNormal="70" workbookViewId="0">
      <pane xSplit="2" ySplit="1" topLeftCell="U2" activePane="bottomRight" state="frozen"/>
      <selection pane="bottomRight" activeCell="U2" sqref="U2"/>
      <selection pane="bottomLeft" activeCell="A2" sqref="A2"/>
      <selection pane="topRight" activeCell="C1" sqref="C1"/>
    </sheetView>
  </sheetViews>
  <sheetFormatPr defaultColWidth="10.85546875" defaultRowHeight="14.25"/>
  <cols>
    <col min="1" max="1" width="7.42578125" style="1" customWidth="1"/>
    <col min="2" max="2" width="15.42578125" style="1" customWidth="1"/>
    <col min="3" max="4" width="13.42578125" style="1" customWidth="1"/>
    <col min="5" max="9" width="23" style="1" customWidth="1"/>
    <col min="10" max="14" width="26.7109375" style="1" customWidth="1"/>
    <col min="15" max="15" width="21.28515625" style="1" customWidth="1"/>
    <col min="16" max="20" width="20.28515625" style="4" customWidth="1"/>
    <col min="21" max="21" width="21.5703125" style="4" customWidth="1"/>
    <col min="22" max="26" width="20.28515625" style="220" customWidth="1"/>
    <col min="27" max="35" width="10.85546875" style="26"/>
    <col min="36" max="52" width="10.85546875" style="4"/>
    <col min="53" max="16384" width="10.85546875" style="1"/>
  </cols>
  <sheetData>
    <row r="1" spans="1:26" ht="53.45" customHeight="1">
      <c r="A1" s="5" t="s">
        <v>278</v>
      </c>
      <c r="B1" s="6" t="s">
        <v>279</v>
      </c>
      <c r="C1" s="6" t="s">
        <v>280</v>
      </c>
      <c r="D1" s="6" t="s">
        <v>281</v>
      </c>
      <c r="E1" s="184" t="s">
        <v>161</v>
      </c>
      <c r="F1" s="61" t="s">
        <v>583</v>
      </c>
      <c r="G1" s="61" t="s">
        <v>584</v>
      </c>
      <c r="H1" s="61" t="s">
        <v>585</v>
      </c>
      <c r="I1" s="61" t="s">
        <v>586</v>
      </c>
      <c r="J1" s="184" t="s">
        <v>171</v>
      </c>
      <c r="K1" s="61" t="s">
        <v>587</v>
      </c>
      <c r="L1" s="61" t="s">
        <v>588</v>
      </c>
      <c r="M1" s="61" t="s">
        <v>589</v>
      </c>
      <c r="N1" s="61" t="s">
        <v>590</v>
      </c>
      <c r="O1" s="231" t="s">
        <v>175</v>
      </c>
      <c r="P1" s="61" t="s">
        <v>591</v>
      </c>
      <c r="Q1" s="246" t="s">
        <v>592</v>
      </c>
      <c r="R1" s="246" t="s">
        <v>593</v>
      </c>
      <c r="S1" s="246" t="s">
        <v>594</v>
      </c>
      <c r="T1" s="239" t="s">
        <v>595</v>
      </c>
      <c r="U1" s="61" t="s">
        <v>596</v>
      </c>
      <c r="V1" s="246" t="s">
        <v>597</v>
      </c>
      <c r="W1" s="246" t="s">
        <v>598</v>
      </c>
      <c r="X1" s="246" t="s">
        <v>599</v>
      </c>
      <c r="Y1" s="239" t="s">
        <v>600</v>
      </c>
      <c r="Z1" s="231" t="s">
        <v>601</v>
      </c>
    </row>
    <row r="2" spans="1:26">
      <c r="A2" s="9">
        <v>1</v>
      </c>
      <c r="B2" s="1" t="s">
        <v>304</v>
      </c>
      <c r="C2" s="1" t="s">
        <v>305</v>
      </c>
      <c r="D2" s="1">
        <v>0</v>
      </c>
      <c r="E2" s="199">
        <f>Demographics!H2*'Health conditions data'!E2*'Health conditions data'!H2</f>
        <v>2719980.5671641794</v>
      </c>
      <c r="F2" s="198">
        <f>'Health insurance data'!F2*'Health insurance data'!R2*'Health insurance data'!S2</f>
        <v>592477.07713651471</v>
      </c>
      <c r="G2" s="198">
        <f>'Health insurance data'!I2*'Health insurance data'!V2*'Health insurance data'!W2</f>
        <v>483262.3617448982</v>
      </c>
      <c r="H2" s="198">
        <f>'Health insurance data'!L2*'Health insurance data'!AF2*'Health insurance data'!AG2</f>
        <v>1410796.3519273177</v>
      </c>
      <c r="I2" s="198">
        <f>'Health insurance data'!O2*'Health insurance data'!AA2*'Health insurance data'!AB2</f>
        <v>39714.282300000013</v>
      </c>
      <c r="J2" s="78">
        <f>Demographics!H2*Demographics!U2*'Health conditions data'!K2*'Health conditions data'!N2</f>
        <v>932485.04761904827</v>
      </c>
      <c r="K2" s="118">
        <f>'Health insurance data'!F2*Demographics!AC2*'Health insurance data'!AK2*'Health insurance data'!AL2</f>
        <v>538998.30076909065</v>
      </c>
      <c r="L2" s="118">
        <f>'Health insurance data'!I2*Demographics!AD2*'Health insurance data'!AO2*'Health insurance data'!AP2</f>
        <v>253645.24145767404</v>
      </c>
      <c r="M2" s="118">
        <f>'Health insurance data'!L2*Demographics!AE2*'Health insurance data'!AW2*'Health insurance data'!AX2</f>
        <v>216210.38005057402</v>
      </c>
      <c r="N2" s="118">
        <f>'Health insurance data'!O2*Demographics!AF2*'Health insurance data'!AS2*'Health insurance data'!AT2</f>
        <v>10415.547495145658</v>
      </c>
      <c r="O2" s="196">
        <f>Demographics!H2*'Health conditions data'!P2</f>
        <v>593135.38500000001</v>
      </c>
      <c r="P2" s="240">
        <f>'FIM interventions data'!E3+'FIM interventions data'!G3+'FIM interventions data'!I3+'FIM interventions data'!K3</f>
        <v>3202983836.3589258</v>
      </c>
      <c r="Q2" s="240">
        <f>'FIM interventions data'!L3+'FIM interventions data'!M3+'FIM interventions data'!N3+'FIM interventions data'!O3</f>
        <v>697686786.58610857</v>
      </c>
      <c r="R2" s="240">
        <f>'FIM interventions data'!P3+'FIM interventions data'!Q3+'FIM interventions data'!R3+'FIM interventions data'!S3</f>
        <v>569078158.89411032</v>
      </c>
      <c r="S2" s="240">
        <f>'FIM interventions data'!T3+'FIM interventions data'!U3+'FIM interventions data'!V3+'FIM interventions data'!W3</f>
        <v>1661319924.9171631</v>
      </c>
      <c r="T2" s="192">
        <f>'FIM interventions data'!X3+'FIM interventions data'!Y3+'FIM interventions data'!Z3+'FIM interventions data'!AA3</f>
        <v>46766585.693704829</v>
      </c>
      <c r="U2" s="240">
        <f>'FIM interventions data'!AB3+'FIM interventions data'!AC3+'FIM interventions data'!AD3+'FIM interventions data'!AE3</f>
        <v>1098072012.4350486</v>
      </c>
      <c r="V2" s="230">
        <f>'FIM interventions data'!AF3+'FIM interventions data'!AG3+'FIM interventions data'!AH3+'FIM interventions data'!AI3</f>
        <v>634711463.02646279</v>
      </c>
      <c r="W2" s="230">
        <f>'FIM interventions data'!AJ3+'FIM interventions data'!AK3+'FIM interventions data'!AL3+'FIM interventions data'!AM3</f>
        <v>298686548.85476202</v>
      </c>
      <c r="X2" s="230">
        <f>'FIM interventions data'!AN3+'FIM interventions data'!AO3+'FIM interventions data'!AP3+'FIM interventions data'!AQ3</f>
        <v>254604154.49843481</v>
      </c>
      <c r="Y2" s="229">
        <f>'FIM interventions data'!AR3+'FIM interventions data'!AS3+'FIM interventions data'!AT3+'FIM interventions data'!AU3</f>
        <v>12265098.757143646</v>
      </c>
      <c r="Z2" s="326">
        <f>'FIM interventions data'!AV3+'FIM interventions data'!AW3+'FIM interventions data'!AX3+'FIM interventions data'!AY3</f>
        <v>698461994.12676001</v>
      </c>
    </row>
    <row r="3" spans="1:26">
      <c r="A3" s="9">
        <v>2</v>
      </c>
      <c r="B3" s="1" t="s">
        <v>314</v>
      </c>
      <c r="C3" s="1" t="s">
        <v>315</v>
      </c>
      <c r="D3" s="1">
        <v>1</v>
      </c>
      <c r="E3" s="199">
        <f>Demographics!H3*'Health conditions data'!E3*'Health conditions data'!H3</f>
        <v>342438.7455795678</v>
      </c>
      <c r="F3" s="198">
        <f>'Health insurance data'!F3*'Health insurance data'!R3*'Health insurance data'!S3</f>
        <v>104733.95545667667</v>
      </c>
      <c r="G3" s="198">
        <f>'Health insurance data'!I3*'Health insurance data'!V3*'Health insurance data'!W3</f>
        <v>71741.916606037179</v>
      </c>
      <c r="H3" s="198">
        <f>'Health insurance data'!L3*'Health insurance data'!AF3*'Health insurance data'!AG3</f>
        <v>208818.86630176305</v>
      </c>
      <c r="I3" s="198">
        <f>'Health insurance data'!O3*'Health insurance data'!AA3*'Health insurance data'!AB3</f>
        <v>24563.163937499998</v>
      </c>
      <c r="J3" s="78">
        <f>Demographics!H3*Demographics!U3*'Health conditions data'!K3*'Health conditions data'!N3</f>
        <v>89232.849740932579</v>
      </c>
      <c r="K3" s="118">
        <f>'Health insurance data'!F3*Demographics!AC3*'Health insurance data'!AK3*'Health insurance data'!AL3</f>
        <v>73417.320171275569</v>
      </c>
      <c r="L3" s="118">
        <f>'Health insurance data'!I3*Demographics!AD3*'Health insurance data'!AO3*'Health insurance data'!AP3</f>
        <v>13583.420329629616</v>
      </c>
      <c r="M3" s="118">
        <f>'Health insurance data'!L3*Demographics!AE3*'Health insurance data'!AW3*'Health insurance data'!AX3</f>
        <v>15697.523077521373</v>
      </c>
      <c r="N3" s="118">
        <f>'Health insurance data'!O3*Demographics!AF3*'Health insurance data'!AS3*'Health insurance data'!AT3</f>
        <v>4360.6140197833156</v>
      </c>
      <c r="O3" s="196">
        <f>Demographics!H3*'Health conditions data'!P3</f>
        <v>76973.832000000009</v>
      </c>
      <c r="P3" s="240">
        <f>'FIM interventions data'!E4+'FIM interventions data'!G4+'FIM interventions data'!I4+'FIM interventions data'!K4</f>
        <v>403247648.26460516</v>
      </c>
      <c r="Q3" s="240">
        <f>'FIM interventions data'!L4+'FIM interventions data'!M4+'FIM interventions data'!N4+'FIM interventions data'!O4</f>
        <v>123332192.33085153</v>
      </c>
      <c r="R3" s="240">
        <f>'FIM interventions data'!P4+'FIM interventions data'!Q4+'FIM interventions data'!R4+'FIM interventions data'!S4</f>
        <v>84481559.189270854</v>
      </c>
      <c r="S3" s="240">
        <f>'FIM interventions data'!T4+'FIM interventions data'!U4+'FIM interventions data'!V4+'FIM interventions data'!W4</f>
        <v>245900085.30416495</v>
      </c>
      <c r="T3" s="192">
        <f>'FIM interventions data'!X4+'FIM interventions data'!Y4+'FIM interventions data'!Z4+'FIM interventions data'!AA4</f>
        <v>28924992.3368655</v>
      </c>
      <c r="U3" s="240">
        <f>'FIM interventions data'!AB4+'FIM interventions data'!AC4+'FIM interventions data'!AD4+'FIM interventions data'!AE4</f>
        <v>105078462.26652844</v>
      </c>
      <c r="V3" s="230">
        <f>'FIM interventions data'!AF4+'FIM interventions data'!AG4+'FIM interventions data'!AH4+'FIM interventions data'!AI4</f>
        <v>86454474.218010008</v>
      </c>
      <c r="W3" s="230">
        <f>'FIM interventions data'!AJ4+'FIM interventions data'!AK4+'FIM interventions data'!AL4+'FIM interventions data'!AM4</f>
        <v>15995509.778083928</v>
      </c>
      <c r="X3" s="230">
        <f>'FIM interventions data'!AN4+'FIM interventions data'!AO4+'FIM interventions data'!AP4+'FIM interventions data'!AQ4</f>
        <v>18485026.435535308</v>
      </c>
      <c r="Y3" s="229">
        <f>'FIM interventions data'!AR4+'FIM interventions data'!AS4+'FIM interventions data'!AT4+'FIM interventions data'!AU4</f>
        <v>5134954.4149603583</v>
      </c>
      <c r="Z3" s="326">
        <f>'FIM interventions data'!AV4+'FIM interventions data'!AW4+'FIM interventions data'!AX4+'FIM interventions data'!AY4</f>
        <v>90642537.191232026</v>
      </c>
    </row>
    <row r="4" spans="1:26">
      <c r="A4" s="9">
        <v>3</v>
      </c>
      <c r="B4" s="1" t="s">
        <v>321</v>
      </c>
      <c r="C4" s="1" t="s">
        <v>322</v>
      </c>
      <c r="D4" s="1">
        <v>0</v>
      </c>
      <c r="E4" s="199">
        <f>Demographics!H4*'Health conditions data'!E4*'Health conditions data'!H4</f>
        <v>3251183.7415565373</v>
      </c>
      <c r="F4" s="198">
        <f>'Health insurance data'!F4*'Health insurance data'!R4*'Health insurance data'!S4</f>
        <v>1072966.6506075617</v>
      </c>
      <c r="G4" s="198">
        <f>'Health insurance data'!I4*'Health insurance data'!V4*'Health insurance data'!W4</f>
        <v>993972.10394482804</v>
      </c>
      <c r="H4" s="198">
        <f>'Health insurance data'!L4*'Health insurance data'!AF4*'Health insurance data'!AG4</f>
        <v>2028251.0943720543</v>
      </c>
      <c r="I4" s="198">
        <f>'Health insurance data'!O4*'Health insurance data'!AA4*'Health insurance data'!AB4</f>
        <v>58974.097777777832</v>
      </c>
      <c r="J4" s="78">
        <f>Demographics!H4*Demographics!U4*'Health conditions data'!K4*'Health conditions data'!N4</f>
        <v>850297.76168224355</v>
      </c>
      <c r="K4" s="118">
        <f>'Health insurance data'!F4*Demographics!AC4*'Health insurance data'!AK4*'Health insurance data'!AL4</f>
        <v>635778.46727045439</v>
      </c>
      <c r="L4" s="118">
        <f>'Health insurance data'!I4*Demographics!AD4*'Health insurance data'!AO4*'Health insurance data'!AP4</f>
        <v>258678.35662809931</v>
      </c>
      <c r="M4" s="118">
        <f>'Health insurance data'!L4*Demographics!AE4*'Health insurance data'!AW4*'Health insurance data'!AX4</f>
        <v>201511.49342372853</v>
      </c>
      <c r="N4" s="118">
        <f>'Health insurance data'!O4*Demographics!AF4*'Health insurance data'!AS4*'Health insurance data'!AT4</f>
        <v>11964.280626028756</v>
      </c>
      <c r="O4" s="196">
        <f>Demographics!H4*'Health conditions data'!P4</f>
        <v>894721.31200000003</v>
      </c>
      <c r="P4" s="240">
        <f>'FIM interventions data'!E5+'FIM interventions data'!G5+'FIM interventions data'!I5+'FIM interventions data'!K5</f>
        <v>3828515945.6471815</v>
      </c>
      <c r="Q4" s="240">
        <f>'FIM interventions data'!L5+'FIM interventions data'!M5+'FIM interventions data'!N5+'FIM interventions data'!O5</f>
        <v>1263499776.5558503</v>
      </c>
      <c r="R4" s="240">
        <f>'FIM interventions data'!P5+'FIM interventions data'!Q5+'FIM interventions data'!R5+'FIM interventions data'!S5</f>
        <v>1170477694.2749348</v>
      </c>
      <c r="S4" s="240">
        <f>'FIM interventions data'!T5+'FIM interventions data'!U5+'FIM interventions data'!V5+'FIM interventions data'!W5</f>
        <v>2388419810.7062664</v>
      </c>
      <c r="T4" s="192">
        <f>'FIM interventions data'!X5+'FIM interventions data'!Y5+'FIM interventions data'!Z5+'FIM interventions data'!AA5</f>
        <v>69446482.164764509</v>
      </c>
      <c r="U4" s="240">
        <f>'FIM interventions data'!AB5+'FIM interventions data'!AC5+'FIM interventions data'!AD5+'FIM interventions data'!AE5</f>
        <v>1001290237.0107298</v>
      </c>
      <c r="V4" s="230">
        <f>'FIM interventions data'!AF5+'FIM interventions data'!AG5+'FIM interventions data'!AH5+'FIM interventions data'!AI5</f>
        <v>748677464.37447262</v>
      </c>
      <c r="W4" s="230">
        <f>'FIM interventions data'!AJ5+'FIM interventions data'!AK5+'FIM interventions data'!AL5+'FIM interventions data'!AM5</f>
        <v>304613424.48469067</v>
      </c>
      <c r="X4" s="230">
        <f>'FIM interventions data'!AN5+'FIM interventions data'!AO5+'FIM interventions data'!AP5+'FIM interventions data'!AQ5</f>
        <v>237295098.37994057</v>
      </c>
      <c r="Y4" s="229">
        <f>'FIM interventions data'!AR5+'FIM interventions data'!AS5+'FIM interventions data'!AT5+'FIM interventions data'!AU5</f>
        <v>14088849.72247644</v>
      </c>
      <c r="Z4" s="326">
        <f>'FIM interventions data'!AV5+'FIM interventions data'!AW5+'FIM interventions data'!AX5+'FIM interventions data'!AY5</f>
        <v>1053602343.6997123</v>
      </c>
    </row>
    <row r="5" spans="1:26">
      <c r="A5" s="9">
        <v>4</v>
      </c>
      <c r="B5" s="1" t="s">
        <v>327</v>
      </c>
      <c r="C5" s="1" t="s">
        <v>328</v>
      </c>
      <c r="D5" s="1">
        <v>0</v>
      </c>
      <c r="E5" s="199">
        <f>Demographics!H5*'Health conditions data'!E5*'Health conditions data'!H5</f>
        <v>1623181.404651162</v>
      </c>
      <c r="F5" s="198">
        <f>'Health insurance data'!F5*'Health insurance data'!R5*'Health insurance data'!S5</f>
        <v>385406.65433548373</v>
      </c>
      <c r="G5" s="198">
        <f>'Health insurance data'!I5*'Health insurance data'!V5*'Health insurance data'!W5</f>
        <v>316538.11821176484</v>
      </c>
      <c r="H5" s="198">
        <f>'Health insurance data'!L5*'Health insurance data'!AF5*'Health insurance data'!AG5</f>
        <v>596930.28216722445</v>
      </c>
      <c r="I5" s="198">
        <f>'Health insurance data'!O5*'Health insurance data'!AA5*'Health insurance data'!AB5</f>
        <v>29019.121747159104</v>
      </c>
      <c r="J5" s="78">
        <f>Demographics!H5*Demographics!U5*'Health conditions data'!K5*'Health conditions data'!N5</f>
        <v>632036.38795986667</v>
      </c>
      <c r="K5" s="118">
        <f>'Health insurance data'!F5*Demographics!AC5*'Health insurance data'!AK5*'Health insurance data'!AL5</f>
        <v>441086.68822580663</v>
      </c>
      <c r="L5" s="118">
        <f>'Health insurance data'!I5*Demographics!AD5*'Health insurance data'!AO5*'Health insurance data'!AP5</f>
        <v>158840.12016636951</v>
      </c>
      <c r="M5" s="118">
        <f>'Health insurance data'!L5*Demographics!AE5*'Health insurance data'!AW5*'Health insurance data'!AX5</f>
        <v>126067.54748207092</v>
      </c>
      <c r="N5" s="118">
        <f>'Health insurance data'!O5*Demographics!AF5*'Health insurance data'!AS5*'Health insurance data'!AT5</f>
        <v>8014.8317368776952</v>
      </c>
      <c r="O5" s="196">
        <f>Demographics!H5*'Health conditions data'!P5</f>
        <v>583698.90599999996</v>
      </c>
      <c r="P5" s="240">
        <f>'FIM interventions data'!E6+'FIM interventions data'!G6+'FIM interventions data'!I6+'FIM interventions data'!K6</f>
        <v>1911419465.7634969</v>
      </c>
      <c r="Q5" s="240">
        <f>'FIM interventions data'!L6+'FIM interventions data'!M6+'FIM interventions data'!N6+'FIM interventions data'!O6</f>
        <v>453845626.38576168</v>
      </c>
      <c r="R5" s="240">
        <f>'FIM interventions data'!P6+'FIM interventions data'!Q6+'FIM interventions data'!R6+'FIM interventions data'!S6</f>
        <v>372747691.0913372</v>
      </c>
      <c r="S5" s="240">
        <f>'FIM interventions data'!T6+'FIM interventions data'!U6+'FIM interventions data'!V6+'FIM interventions data'!W6</f>
        <v>702930773.95335162</v>
      </c>
      <c r="T5" s="192">
        <f>'FIM interventions data'!X6+'FIM interventions data'!Y6+'FIM interventions data'!Z6+'FIM interventions data'!AA6</f>
        <v>34172221.310532637</v>
      </c>
      <c r="U5" s="240">
        <f>'FIM interventions data'!AB6+'FIM interventions data'!AC6+'FIM interventions data'!AD6+'FIM interventions data'!AE6</f>
        <v>744270881.58822799</v>
      </c>
      <c r="V5" s="230">
        <f>'FIM interventions data'!AF6+'FIM interventions data'!AG6+'FIM interventions data'!AH6+'FIM interventions data'!AI6</f>
        <v>519413097.9741925</v>
      </c>
      <c r="W5" s="230">
        <f>'FIM interventions data'!AJ6+'FIM interventions data'!AK6+'FIM interventions data'!AL6+'FIM interventions data'!AM6</f>
        <v>187046313.34503278</v>
      </c>
      <c r="X5" s="230">
        <f>'FIM interventions data'!AN6+'FIM interventions data'!AO6+'FIM interventions data'!AP6+'FIM interventions data'!AQ6</f>
        <v>148454118.29374719</v>
      </c>
      <c r="Y5" s="229">
        <f>'FIM interventions data'!AR6+'FIM interventions data'!AS6+'FIM interventions data'!AT6+'FIM interventions data'!AU6</f>
        <v>9438073.4973854907</v>
      </c>
      <c r="Z5" s="326">
        <f>'FIM interventions data'!AV6+'FIM interventions data'!AW6+'FIM interventions data'!AX6+'FIM interventions data'!AY6</f>
        <v>687349822.93185604</v>
      </c>
    </row>
    <row r="6" spans="1:26">
      <c r="A6" s="9">
        <v>5</v>
      </c>
      <c r="B6" s="1" t="s">
        <v>332</v>
      </c>
      <c r="C6" s="1" t="s">
        <v>333</v>
      </c>
      <c r="D6" s="1">
        <v>1</v>
      </c>
      <c r="E6" s="199">
        <f>Demographics!H6*'Health conditions data'!E6*'Health conditions data'!H6</f>
        <v>16318930.941947576</v>
      </c>
      <c r="F6" s="198">
        <f>'Health insurance data'!F6*'Health insurance data'!R6*'Health insurance data'!S6</f>
        <v>5335971.9084577197</v>
      </c>
      <c r="G6" s="198">
        <f>'Health insurance data'!I6*'Health insurance data'!V6*'Health insurance data'!W6</f>
        <v>1886663.3014354075</v>
      </c>
      <c r="H6" s="198">
        <f>'Health insurance data'!L6*'Health insurance data'!AF6*'Health insurance data'!AG6</f>
        <v>9288598.3980288487</v>
      </c>
      <c r="I6" s="198">
        <f>'Health insurance data'!O6*'Health insurance data'!AA6*'Health insurance data'!AB6</f>
        <v>96387.531777777709</v>
      </c>
      <c r="J6" s="78">
        <f>Demographics!H6*Demographics!U6*'Health conditions data'!K6*'Health conditions data'!N6</f>
        <v>4027071.2715231767</v>
      </c>
      <c r="K6" s="118">
        <f>'Health insurance data'!F6*Demographics!AC6*'Health insurance data'!AK6*'Health insurance data'!AL6</f>
        <v>4310811.4283456951</v>
      </c>
      <c r="L6" s="118">
        <f>'Health insurance data'!I6*Demographics!AD6*'Health insurance data'!AO6*'Health insurance data'!AP6</f>
        <v>600189.0968775152</v>
      </c>
      <c r="M6" s="118">
        <f>'Health insurance data'!L6*Demographics!AE6*'Health insurance data'!AW6*'Health insurance data'!AX6</f>
        <v>1500747.1463945864</v>
      </c>
      <c r="N6" s="118">
        <f>'Health insurance data'!O6*Demographics!AF6*'Health insurance data'!AS6*'Health insurance data'!AT6</f>
        <v>30358.072364511161</v>
      </c>
      <c r="O6" s="196">
        <f>Demographics!H6*'Health conditions data'!P6</f>
        <v>4495163.9819999998</v>
      </c>
      <c r="P6" s="240">
        <f>'FIM interventions data'!E7+'FIM interventions data'!G7+'FIM interventions data'!I7+'FIM interventions data'!K7</f>
        <v>19216781422.894859</v>
      </c>
      <c r="Q6" s="240">
        <f>'FIM interventions data'!L7+'FIM interventions data'!M7+'FIM interventions data'!N7+'FIM interventions data'!O7</f>
        <v>6283512456.0740089</v>
      </c>
      <c r="R6" s="240">
        <f>'FIM interventions data'!P7+'FIM interventions data'!Q7+'FIM interventions data'!R7+'FIM interventions data'!S7</f>
        <v>2221689423.8511019</v>
      </c>
      <c r="S6" s="240">
        <f>'FIM interventions data'!T7+'FIM interventions data'!U7+'FIM interventions data'!V7+'FIM interventions data'!W7</f>
        <v>10938030547.157223</v>
      </c>
      <c r="T6" s="192">
        <f>'FIM interventions data'!X7+'FIM interventions data'!Y7+'FIM interventions data'!Z7+'FIM interventions data'!AA7</f>
        <v>113503644.12074837</v>
      </c>
      <c r="U6" s="240">
        <f>'FIM interventions data'!AB7+'FIM interventions data'!AC7+'FIM interventions data'!AD7+'FIM interventions data'!AE7</f>
        <v>4742182479.6351776</v>
      </c>
      <c r="V6" s="230">
        <f>'FIM interventions data'!AF7+'FIM interventions data'!AG7+'FIM interventions data'!AH7+'FIM interventions data'!AI7</f>
        <v>5076308078.5456104</v>
      </c>
      <c r="W6" s="230">
        <f>'FIM interventions data'!AJ7+'FIM interventions data'!AK7+'FIM interventions data'!AL7+'FIM interventions data'!AM7</f>
        <v>706768275.94463706</v>
      </c>
      <c r="X6" s="230">
        <f>'FIM interventions data'!AN7+'FIM interventions data'!AO7+'FIM interventions data'!AP7+'FIM interventions data'!AQ7</f>
        <v>1767243821.6627517</v>
      </c>
      <c r="Y6" s="229">
        <f>'FIM interventions data'!AR7+'FIM interventions data'!AS7+'FIM interventions data'!AT7+'FIM interventions data'!AU7</f>
        <v>35748937.422711603</v>
      </c>
      <c r="Z6" s="326">
        <f>'FIM interventions data'!AV7+'FIM interventions data'!AW7+'FIM interventions data'!AX7+'FIM interventions data'!AY7</f>
        <v>5293397221.2676315</v>
      </c>
    </row>
    <row r="7" spans="1:26">
      <c r="A7" s="9">
        <v>6</v>
      </c>
      <c r="B7" s="1" t="s">
        <v>337</v>
      </c>
      <c r="C7" s="1" t="s">
        <v>338</v>
      </c>
      <c r="D7" s="1">
        <v>0</v>
      </c>
      <c r="E7" s="199">
        <f>Demographics!H7*'Health conditions data'!E7*'Health conditions data'!H7</f>
        <v>2735468.0584045597</v>
      </c>
      <c r="F7" s="198">
        <f>'Health insurance data'!F7*'Health insurance data'!R7*'Health insurance data'!S7</f>
        <v>589174.00669514283</v>
      </c>
      <c r="G7" s="198">
        <f>'Health insurance data'!I7*'Health insurance data'!V7*'Health insurance data'!W7</f>
        <v>350756.72561001772</v>
      </c>
      <c r="H7" s="198">
        <f>'Health insurance data'!L7*'Health insurance data'!AF7*'Health insurance data'!AG7</f>
        <v>1632611.4762619727</v>
      </c>
      <c r="I7" s="198">
        <f>'Health insurance data'!O7*'Health insurance data'!AA7*'Health insurance data'!AB7</f>
        <v>73218.690640113797</v>
      </c>
      <c r="J7" s="78">
        <f>Demographics!H7*Demographics!U7*'Health conditions data'!K7*'Health conditions data'!N7</f>
        <v>522490.15966386563</v>
      </c>
      <c r="K7" s="118">
        <f>'Health insurance data'!F7*Demographics!AC7*'Health insurance data'!AK7*'Health insurance data'!AL7</f>
        <v>437045.87943695008</v>
      </c>
      <c r="L7" s="118">
        <f>'Health insurance data'!I7*Demographics!AD7*'Health insurance data'!AO7*'Health insurance data'!AP7</f>
        <v>77364.666041666496</v>
      </c>
      <c r="M7" s="118">
        <f>'Health insurance data'!L7*Demographics!AE7*'Health insurance data'!AW7*'Health insurance data'!AX7</f>
        <v>143146.70157817734</v>
      </c>
      <c r="N7" s="118">
        <f>'Health insurance data'!O7*Demographics!AF7*'Health insurance data'!AS7*'Health insurance data'!AT7</f>
        <v>8738.6332383685112</v>
      </c>
      <c r="O7" s="196">
        <f>Demographics!H7*'Health conditions data'!P7</f>
        <v>589791.80700000003</v>
      </c>
      <c r="P7" s="240">
        <f>'FIM interventions data'!E8+'FIM interventions data'!G8+'FIM interventions data'!I8+'FIM interventions data'!K8</f>
        <v>3221221534.3438082</v>
      </c>
      <c r="Q7" s="240">
        <f>'FIM interventions data'!L8+'FIM interventions data'!M8+'FIM interventions data'!N8+'FIM interventions data'!O8</f>
        <v>693797170.10803962</v>
      </c>
      <c r="R7" s="240">
        <f>'FIM interventions data'!P8+'FIM interventions data'!Q8+'FIM interventions data'!R8+'FIM interventions data'!S8</f>
        <v>413042701.91694236</v>
      </c>
      <c r="S7" s="240">
        <f>'FIM interventions data'!T8+'FIM interventions data'!U8+'FIM interventions data'!V8+'FIM interventions data'!W8</f>
        <v>1922524091.770669</v>
      </c>
      <c r="T7" s="192">
        <f>'FIM interventions data'!X8+'FIM interventions data'!Y8+'FIM interventions data'!Z8+'FIM interventions data'!AA8</f>
        <v>86220572.84922266</v>
      </c>
      <c r="U7" s="240">
        <f>'FIM interventions data'!AB8+'FIM interventions data'!AC8+'FIM interventions data'!AD8+'FIM interventions data'!AE8</f>
        <v>615271872.25633621</v>
      </c>
      <c r="V7" s="230">
        <f>'FIM interventions data'!AF8+'FIM interventions data'!AG8+'FIM interventions data'!AH8+'FIM interventions data'!AI8</f>
        <v>514654738.52384603</v>
      </c>
      <c r="W7" s="230">
        <f>'FIM interventions data'!AJ8+'FIM interventions data'!AK8+'FIM interventions data'!AL8+'FIM interventions data'!AM8</f>
        <v>91102773.978681475</v>
      </c>
      <c r="X7" s="230">
        <f>'FIM interventions data'!AN8+'FIM interventions data'!AO8+'FIM interventions data'!AP8+'FIM interventions data'!AQ8</f>
        <v>168566120.25762379</v>
      </c>
      <c r="Y7" s="229">
        <f>'FIM interventions data'!AR8+'FIM interventions data'!AS8+'FIM interventions data'!AT8+'FIM interventions data'!AU8</f>
        <v>10290404.77430504</v>
      </c>
      <c r="Z7" s="326">
        <f>'FIM interventions data'!AV8+'FIM interventions data'!AW8+'FIM interventions data'!AX8+'FIM interventions data'!AY8</f>
        <v>694524676.91983199</v>
      </c>
    </row>
    <row r="8" spans="1:26">
      <c r="A8" s="9">
        <v>7</v>
      </c>
      <c r="B8" s="1" t="s">
        <v>342</v>
      </c>
      <c r="C8" s="1" t="s">
        <v>343</v>
      </c>
      <c r="D8" s="1">
        <v>0</v>
      </c>
      <c r="E8" s="199">
        <f>Demographics!H8*'Health conditions data'!E8*'Health conditions data'!H8</f>
        <v>1557005.1278305345</v>
      </c>
      <c r="F8" s="198">
        <f>'Health insurance data'!F8*'Health insurance data'!R8*'Health insurance data'!S8</f>
        <v>467507.22085927799</v>
      </c>
      <c r="G8" s="198">
        <f>'Health insurance data'!I8*'Health insurance data'!V8*'Health insurance data'!W8</f>
        <v>224220.63489855072</v>
      </c>
      <c r="H8" s="198">
        <f>'Health insurance data'!L8*'Health insurance data'!AF8*'Health insurance data'!AG8</f>
        <v>825383.26590593637</v>
      </c>
      <c r="I8" s="198">
        <f>'Health insurance data'!O8*'Health insurance data'!AA8*'Health insurance data'!AB8</f>
        <v>10389.137365384606</v>
      </c>
      <c r="J8" s="78">
        <f>Demographics!H8*Demographics!U8*'Health conditions data'!K8*'Health conditions data'!N8</f>
        <v>317799.75609756104</v>
      </c>
      <c r="K8" s="118">
        <f>'Health insurance data'!F8*Demographics!AC8*'Health insurance data'!AK8*'Health insurance data'!AL8</f>
        <v>337653.88280308747</v>
      </c>
      <c r="L8" s="118">
        <f>'Health insurance data'!I8*Demographics!AD8*'Health insurance data'!AO8*'Health insurance data'!AP8</f>
        <v>61533.643206407498</v>
      </c>
      <c r="M8" s="118">
        <f>'Health insurance data'!L8*Demographics!AE8*'Health insurance data'!AW8*'Health insurance data'!AX8</f>
        <v>62705.372866751699</v>
      </c>
      <c r="N8" s="118">
        <f>'Health insurance data'!O8*Demographics!AF8*'Health insurance data'!AS8*'Health insurance data'!AT8</f>
        <v>1301.4432903377092</v>
      </c>
      <c r="O8" s="196">
        <f>Demographics!H8*'Health conditions data'!P8</f>
        <v>382207.17600000004</v>
      </c>
      <c r="P8" s="240">
        <f>'FIM interventions data'!E9+'FIM interventions data'!G9+'FIM interventions data'!I9+'FIM interventions data'!K9</f>
        <v>1833491870.4101696</v>
      </c>
      <c r="Q8" s="240">
        <f>'FIM interventions data'!L9+'FIM interventions data'!M9+'FIM interventions data'!N9+'FIM interventions data'!O9</f>
        <v>550525283.11058521</v>
      </c>
      <c r="R8" s="240">
        <f>'FIM interventions data'!P9+'FIM interventions data'!Q9+'FIM interventions data'!R9+'FIM interventions data'!S9</f>
        <v>264036838.36129582</v>
      </c>
      <c r="S8" s="240">
        <f>'FIM interventions data'!T9+'FIM interventions data'!U9+'FIM interventions data'!V9+'FIM interventions data'!W9</f>
        <v>971951524.73244905</v>
      </c>
      <c r="T8" s="192">
        <f>'FIM interventions data'!X9+'FIM interventions data'!Y9+'FIM interventions data'!Z9+'FIM interventions data'!AA9</f>
        <v>12233998.822180144</v>
      </c>
      <c r="U8" s="240">
        <f>'FIM interventions data'!AB9+'FIM interventions data'!AC9+'FIM interventions data'!AD9+'FIM interventions data'!AE9</f>
        <v>374233365.58634162</v>
      </c>
      <c r="V8" s="230">
        <f>'FIM interventions data'!AF9+'FIM interventions data'!AG9+'FIM interventions data'!AH9+'FIM interventions data'!AI9</f>
        <v>397613108.69572854</v>
      </c>
      <c r="W8" s="230">
        <f>'FIM interventions data'!AJ9+'FIM interventions data'!AK9+'FIM interventions data'!AL9+'FIM interventions data'!AM9</f>
        <v>72460541.432428524</v>
      </c>
      <c r="X8" s="230">
        <f>'FIM interventions data'!AN9+'FIM interventions data'!AO9+'FIM interventions data'!AP9+'FIM interventions data'!AQ9</f>
        <v>73840342.158938006</v>
      </c>
      <c r="Y8" s="229">
        <f>'FIM interventions data'!AR9+'FIM interventions data'!AS9+'FIM interventions data'!AT9+'FIM interventions data'!AU9</f>
        <v>1532548.3840627184</v>
      </c>
      <c r="Z8" s="326">
        <f>'FIM interventions data'!AV9+'FIM interventions data'!AW9+'FIM interventions data'!AX9+'FIM interventions data'!AY9</f>
        <v>450077997.48537606</v>
      </c>
    </row>
    <row r="9" spans="1:26">
      <c r="A9" s="9">
        <v>8</v>
      </c>
      <c r="B9" s="1" t="s">
        <v>348</v>
      </c>
      <c r="C9" s="1" t="s">
        <v>349</v>
      </c>
      <c r="D9" s="1">
        <v>0</v>
      </c>
      <c r="E9" s="199">
        <f>Demographics!H9*'Health conditions data'!E9*'Health conditions data'!H9</f>
        <v>489456.64826498454</v>
      </c>
      <c r="F9" s="198">
        <f>'Health insurance data'!F9*'Health insurance data'!R9*'Health insurance data'!S9</f>
        <v>102646.73951612892</v>
      </c>
      <c r="G9" s="198">
        <f>'Health insurance data'!I9*'Health insurance data'!V9*'Health insurance data'!W9</f>
        <v>141813.0895116278</v>
      </c>
      <c r="H9" s="198">
        <f>'Health insurance data'!L9*'Health insurance data'!AF9*'Health insurance data'!AG9</f>
        <v>264163.23457339517</v>
      </c>
      <c r="I9" s="198">
        <f>'Health insurance data'!O9*'Health insurance data'!AA9*'Health insurance data'!AB9</f>
        <v>5469.9683999999997</v>
      </c>
      <c r="J9" s="78">
        <f>Demographics!H9*Demographics!U9*'Health conditions data'!K9*'Health conditions data'!N9</f>
        <v>110348.8571428571</v>
      </c>
      <c r="K9" s="118">
        <f>'Health insurance data'!F9*Demographics!AC9*'Health insurance data'!AK9*'Health insurance data'!AL9</f>
        <v>84561.158798216798</v>
      </c>
      <c r="L9" s="118">
        <f>'Health insurance data'!I9*Demographics!AD9*'Health insurance data'!AO9*'Health insurance data'!AP9</f>
        <v>33708.945585311587</v>
      </c>
      <c r="M9" s="118">
        <f>'Health insurance data'!L9*Demographics!AE9*'Health insurance data'!AW9*'Health insurance data'!AX9</f>
        <v>35749.229462868541</v>
      </c>
      <c r="N9" s="118">
        <f>'Health insurance data'!O9*Demographics!AF9*'Health insurance data'!AS9*'Health insurance data'!AT9</f>
        <v>697.9385809523792</v>
      </c>
      <c r="O9" s="196">
        <f>Demographics!H9*'Health conditions data'!P9</f>
        <v>118866.621</v>
      </c>
      <c r="P9" s="240">
        <f>'FIM interventions data'!E10+'FIM interventions data'!G10+'FIM interventions data'!I10+'FIM interventions data'!K10</f>
        <v>576372402.03728759</v>
      </c>
      <c r="Q9" s="240">
        <f>'FIM interventions data'!L10+'FIM interventions data'!M10+'FIM interventions data'!N10+'FIM interventions data'!O10</f>
        <v>120874336.93244505</v>
      </c>
      <c r="R9" s="240">
        <f>'FIM interventions data'!P10+'FIM interventions data'!Q10+'FIM interventions data'!R10+'FIM interventions data'!S10</f>
        <v>166995690.69474465</v>
      </c>
      <c r="S9" s="240">
        <f>'FIM interventions data'!T10+'FIM interventions data'!U10+'FIM interventions data'!V10+'FIM interventions data'!W10</f>
        <v>311072285.11600041</v>
      </c>
      <c r="T9" s="192">
        <f>'FIM interventions data'!X10+'FIM interventions data'!Y10+'FIM interventions data'!Z10+'FIM interventions data'!AA10</f>
        <v>6441303.5085984003</v>
      </c>
      <c r="U9" s="240">
        <f>'FIM interventions data'!AB10+'FIM interventions data'!AC10+'FIM interventions data'!AD10+'FIM interventions data'!AE10</f>
        <v>129944165.79885712</v>
      </c>
      <c r="V9" s="230">
        <f>'FIM interventions data'!AF10+'FIM interventions data'!AG10+'FIM interventions data'!AH10+'FIM interventions data'!AI10</f>
        <v>99577191.132968962</v>
      </c>
      <c r="W9" s="230">
        <f>'FIM interventions data'!AJ10+'FIM interventions data'!AK10+'FIM interventions data'!AL10+'FIM interventions data'!AM10</f>
        <v>39694845.306568883</v>
      </c>
      <c r="X9" s="230">
        <f>'FIM interventions data'!AN10+'FIM interventions data'!AO10+'FIM interventions data'!AP10+'FIM interventions data'!AQ10</f>
        <v>42097434.633966893</v>
      </c>
      <c r="Y9" s="229">
        <f>'FIM interventions data'!AR10+'FIM interventions data'!AS10+'FIM interventions data'!AT10+'FIM interventions data'!AU10</f>
        <v>821875.72240357893</v>
      </c>
      <c r="Z9" s="326">
        <f>'FIM interventions data'!AV10+'FIM interventions data'!AW10+'FIM interventions data'!AX10+'FIM interventions data'!AY10</f>
        <v>139974480.09069604</v>
      </c>
    </row>
    <row r="10" spans="1:26">
      <c r="A10" s="9">
        <v>9</v>
      </c>
      <c r="B10" s="1" t="s">
        <v>353</v>
      </c>
      <c r="C10" s="1" t="s">
        <v>354</v>
      </c>
      <c r="D10" s="1">
        <v>0</v>
      </c>
      <c r="E10" s="199">
        <f>Demographics!H10*'Health conditions data'!E10*'Health conditions data'!H10</f>
        <v>9813965.4890387747</v>
      </c>
      <c r="F10" s="198">
        <f>'Health insurance data'!F10*'Health insurance data'!R10*'Health insurance data'!S10</f>
        <v>1920833.1910704286</v>
      </c>
      <c r="G10" s="198">
        <f>'Health insurance data'!I10*'Health insurance data'!V10*'Health insurance data'!W10</f>
        <v>2729271.5580645176</v>
      </c>
      <c r="H10" s="198">
        <f>'Health insurance data'!L10*'Health insurance data'!AF10*'Health insurance data'!AG10</f>
        <v>4965222.1513745841</v>
      </c>
      <c r="I10" s="198">
        <f>'Health insurance data'!O10*'Health insurance data'!AA10*'Health insurance data'!AB10</f>
        <v>173900.40922619042</v>
      </c>
      <c r="J10" s="78">
        <f>Demographics!H10*Demographics!U10*'Health conditions data'!K10*'Health conditions data'!N10</f>
        <v>2727584.1660649786</v>
      </c>
      <c r="K10" s="118">
        <f>'Health insurance data'!F10*Demographics!AC10*'Health insurance data'!AK10*'Health insurance data'!AL10</f>
        <v>1660428.8718616352</v>
      </c>
      <c r="L10" s="118">
        <f>'Health insurance data'!I10*Demographics!AD10*'Health insurance data'!AO10*'Health insurance data'!AP10</f>
        <v>815516.4900144781</v>
      </c>
      <c r="M10" s="118">
        <f>'Health insurance data'!L10*Demographics!AE10*'Health insurance data'!AW10*'Health insurance data'!AX10</f>
        <v>775914.28534849768</v>
      </c>
      <c r="N10" s="118">
        <f>'Health insurance data'!O10*Demographics!AF10*'Health insurance data'!AS10*'Health insurance data'!AT10</f>
        <v>39578.592438324624</v>
      </c>
      <c r="O10" s="196">
        <f>Demographics!H10*'Health conditions data'!P10</f>
        <v>2804665.8</v>
      </c>
      <c r="P10" s="240">
        <f>'FIM interventions data'!E11+'FIM interventions data'!G11+'FIM interventions data'!I11+'FIM interventions data'!K11</f>
        <v>11556690224.720325</v>
      </c>
      <c r="Q10" s="240">
        <f>'FIM interventions data'!L11+'FIM interventions data'!M11+'FIM interventions data'!N11+'FIM interventions data'!O11</f>
        <v>2261927065.8079515</v>
      </c>
      <c r="R10" s="240">
        <f>'FIM interventions data'!P11+'FIM interventions data'!Q11+'FIM interventions data'!R11+'FIM interventions data'!S11</f>
        <v>3213924684.2593827</v>
      </c>
      <c r="S10" s="240">
        <f>'FIM interventions data'!T11+'FIM interventions data'!U11+'FIM interventions data'!V11+'FIM interventions data'!W11</f>
        <v>5846926440.1270781</v>
      </c>
      <c r="T10" s="192">
        <f>'FIM interventions data'!X11+'FIM interventions data'!Y11+'FIM interventions data'!Z11+'FIM interventions data'!AA11</f>
        <v>204780948.29494041</v>
      </c>
      <c r="U10" s="240">
        <f>'FIM interventions data'!AB11+'FIM interventions data'!AC11+'FIM interventions data'!AD11+'FIM interventions data'!AE11</f>
        <v>3211937651.9381332</v>
      </c>
      <c r="V10" s="230">
        <f>'FIM interventions data'!AF11+'FIM interventions data'!AG11+'FIM interventions data'!AH11+'FIM interventions data'!AI11</f>
        <v>1955281189.2113371</v>
      </c>
      <c r="W10" s="230">
        <f>'FIM interventions data'!AJ11+'FIM interventions data'!AK11+'FIM interventions data'!AL11+'FIM interventions data'!AM11</f>
        <v>960332646.24528921</v>
      </c>
      <c r="X10" s="230">
        <f>'FIM interventions data'!AN11+'FIM interventions data'!AO11+'FIM interventions data'!AP11+'FIM interventions data'!AQ11</f>
        <v>913698040.48354268</v>
      </c>
      <c r="Y10" s="229">
        <f>'FIM interventions data'!AR11+'FIM interventions data'!AS11+'FIM interventions data'!AT11+'FIM interventions data'!AU11</f>
        <v>46606800.569152564</v>
      </c>
      <c r="Z10" s="326">
        <f>'FIM interventions data'!AV11+'FIM interventions data'!AW11+'FIM interventions data'!AX11+'FIM interventions data'!AY11</f>
        <v>3302707134.1008</v>
      </c>
    </row>
    <row r="11" spans="1:26">
      <c r="A11" s="9">
        <v>10</v>
      </c>
      <c r="B11" s="1" t="s">
        <v>358</v>
      </c>
      <c r="C11" s="1" t="s">
        <v>359</v>
      </c>
      <c r="D11" s="1">
        <v>0</v>
      </c>
      <c r="E11" s="199">
        <f>Demographics!H11*'Health conditions data'!E11*'Health conditions data'!H11</f>
        <v>4997040.4469273752</v>
      </c>
      <c r="F11" s="198">
        <f>'Health insurance data'!F11*'Health insurance data'!R11*'Health insurance data'!S11</f>
        <v>1157792.9024343067</v>
      </c>
      <c r="G11" s="198">
        <f>'Health insurance data'!I11*'Health insurance data'!V11*'Health insurance data'!W11</f>
        <v>832515.59134199098</v>
      </c>
      <c r="H11" s="198">
        <f>'Health insurance data'!L11*'Health insurance data'!AF11*'Health insurance data'!AG11</f>
        <v>2776702.3503825944</v>
      </c>
      <c r="I11" s="198">
        <f>'Health insurance data'!O11*'Health insurance data'!AA11*'Health insurance data'!AB11</f>
        <v>113414.80523903499</v>
      </c>
      <c r="J11" s="78">
        <f>Demographics!H11*Demographics!U11*'Health conditions data'!K11*'Health conditions data'!N11</f>
        <v>1519177.8642297662</v>
      </c>
      <c r="K11" s="118">
        <f>'Health insurance data'!F11*Demographics!AC11*'Health insurance data'!AK11*'Health insurance data'!AL11</f>
        <v>1038928.812803586</v>
      </c>
      <c r="L11" s="118">
        <f>'Health insurance data'!I11*Demographics!AD11*'Health insurance data'!AO11*'Health insurance data'!AP11</f>
        <v>309905.66039866861</v>
      </c>
      <c r="M11" s="118">
        <f>'Health insurance data'!L11*Demographics!AE11*'Health insurance data'!AW11*'Health insurance data'!AX11</f>
        <v>496886.27492249792</v>
      </c>
      <c r="N11" s="118">
        <f>'Health insurance data'!O11*Demographics!AF11*'Health insurance data'!AS11*'Health insurance data'!AT11</f>
        <v>25930.338616883189</v>
      </c>
      <c r="O11" s="196">
        <f>Demographics!H11*'Health conditions data'!P11</f>
        <v>1431152.3840000001</v>
      </c>
      <c r="P11" s="240">
        <f>'FIM interventions data'!E12+'FIM interventions data'!G12+'FIM interventions data'!I12+'FIM interventions data'!K12</f>
        <v>5884394901.3309517</v>
      </c>
      <c r="Q11" s="240">
        <f>'FIM interventions data'!L12+'FIM interventions data'!M12+'FIM interventions data'!N12+'FIM interventions data'!O12</f>
        <v>1363389134.876981</v>
      </c>
      <c r="R11" s="240">
        <f>'FIM interventions data'!P12+'FIM interventions data'!Q12+'FIM interventions data'!R12+'FIM interventions data'!S12</f>
        <v>980350379.99013662</v>
      </c>
      <c r="S11" s="240">
        <f>'FIM interventions data'!T12+'FIM interventions data'!U12+'FIM interventions data'!V12+'FIM interventions data'!W12</f>
        <v>3269778046.9541345</v>
      </c>
      <c r="T11" s="192">
        <f>'FIM interventions data'!X12+'FIM interventions data'!Y12+'FIM interventions data'!Z12+'FIM interventions data'!AA12</f>
        <v>133554552.69416188</v>
      </c>
      <c r="U11" s="240">
        <f>'FIM interventions data'!AB12+'FIM interventions data'!AC12+'FIM interventions data'!AD12+'FIM interventions data'!AE12</f>
        <v>1788947392.6482315</v>
      </c>
      <c r="V11" s="230">
        <f>'FIM interventions data'!AF12+'FIM interventions data'!AG12+'FIM interventions data'!AH12+'FIM interventions data'!AI12</f>
        <v>1223417635.6659956</v>
      </c>
      <c r="W11" s="230">
        <f>'FIM interventions data'!AJ12+'FIM interventions data'!AK12+'FIM interventions data'!AL12+'FIM interventions data'!AM12</f>
        <v>364937467.94962263</v>
      </c>
      <c r="X11" s="230">
        <f>'FIM interventions data'!AN12+'FIM interventions data'!AO12+'FIM interventions data'!AP12+'FIM interventions data'!AQ12</f>
        <v>585121352.07813549</v>
      </c>
      <c r="Y11" s="229">
        <f>'FIM interventions data'!AR12+'FIM interventions data'!AS12+'FIM interventions data'!AT12+'FIM interventions data'!AU12</f>
        <v>30534944.427114844</v>
      </c>
      <c r="Z11" s="326">
        <f>'FIM interventions data'!AV12+'FIM interventions data'!AW12+'FIM interventions data'!AX12+'FIM interventions data'!AY12</f>
        <v>1685290699.7411842</v>
      </c>
    </row>
    <row r="12" spans="1:26">
      <c r="A12" s="9">
        <v>11</v>
      </c>
      <c r="B12" s="1" t="s">
        <v>363</v>
      </c>
      <c r="C12" s="1" t="s">
        <v>364</v>
      </c>
      <c r="D12" s="1">
        <v>1</v>
      </c>
      <c r="E12" s="199">
        <f>Demographics!H12*'Health conditions data'!E12*'Health conditions data'!H12</f>
        <v>550529.11792014877</v>
      </c>
      <c r="F12" s="198">
        <f>'Health insurance data'!F12*'Health insurance data'!R12*'Health insurance data'!S12</f>
        <v>136518.65444444452</v>
      </c>
      <c r="G12" s="198">
        <f>'Health insurance data'!I12*'Health insurance data'!V12*'Health insurance data'!W12</f>
        <v>134789.67463144154</v>
      </c>
      <c r="H12" s="198">
        <f>'Health insurance data'!L12*'Health insurance data'!AF12*'Health insurance data'!AG12</f>
        <v>285915.62606144091</v>
      </c>
      <c r="I12" s="198">
        <f>'Health insurance data'!O12*'Health insurance data'!AA12*'Health insurance data'!AB12</f>
        <v>22397.909248</v>
      </c>
      <c r="J12" s="78">
        <f>Demographics!H12*Demographics!U12*'Health conditions data'!K12*'Health conditions data'!N12</f>
        <v>121284.52525252535</v>
      </c>
      <c r="K12" s="118">
        <f>'Health insurance data'!F12*Demographics!AC12*'Health insurance data'!AK12*'Health insurance data'!AL12</f>
        <v>83407.998169013968</v>
      </c>
      <c r="L12" s="118">
        <f>'Health insurance data'!I12*Demographics!AD12*'Health insurance data'!AO12*'Health insurance data'!AP12</f>
        <v>36793.412007703519</v>
      </c>
      <c r="M12" s="118">
        <f>'Health insurance data'!L12*Demographics!AE12*'Health insurance data'!AW12*'Health insurance data'!AX12</f>
        <v>44651.107720335676</v>
      </c>
      <c r="N12" s="118">
        <f>'Health insurance data'!O12*Demographics!AF12*'Health insurance data'!AS12*'Health insurance data'!AT12</f>
        <v>4263.9751978319873</v>
      </c>
      <c r="O12" s="196">
        <f>Demographics!H12*'Health conditions data'!P12</f>
        <v>138830.016</v>
      </c>
      <c r="P12" s="240">
        <f>'FIM interventions data'!E13+'FIM interventions data'!G13+'FIM interventions data'!I13+'FIM interventions data'!K13</f>
        <v>648289876.56393719</v>
      </c>
      <c r="Q12" s="240">
        <f>'FIM interventions data'!L13+'FIM interventions data'!M13+'FIM interventions data'!N13+'FIM interventions data'!O13</f>
        <v>160761091.02607122</v>
      </c>
      <c r="R12" s="240">
        <f>'FIM interventions data'!P13+'FIM interventions data'!Q13+'FIM interventions data'!R13+'FIM interventions data'!S13</f>
        <v>158725085.89379442</v>
      </c>
      <c r="S12" s="240">
        <f>'FIM interventions data'!T13+'FIM interventions data'!U13+'FIM interventions data'!V13+'FIM interventions data'!W13</f>
        <v>336687379.27492738</v>
      </c>
      <c r="T12" s="192">
        <f>'FIM interventions data'!X13+'FIM interventions data'!Y13+'FIM interventions data'!Z13+'FIM interventions data'!AA13</f>
        <v>26375240.380622853</v>
      </c>
      <c r="U12" s="240">
        <f>'FIM interventions data'!AB13+'FIM interventions data'!AC13+'FIM interventions data'!AD13+'FIM interventions data'!AE13</f>
        <v>142821746.10876781</v>
      </c>
      <c r="V12" s="230">
        <f>'FIM interventions data'!AF13+'FIM interventions data'!AG13+'FIM interventions data'!AH13+'FIM interventions data'!AI13</f>
        <v>98219256.851874799</v>
      </c>
      <c r="W12" s="230">
        <f>'FIM interventions data'!AJ13+'FIM interventions data'!AK13+'FIM interventions data'!AL13+'FIM interventions data'!AM13</f>
        <v>43327038.938383482</v>
      </c>
      <c r="X12" s="230">
        <f>'FIM interventions data'!AN13+'FIM interventions data'!AO13+'FIM interventions data'!AP13+'FIM interventions data'!AQ13</f>
        <v>52580072.824882016</v>
      </c>
      <c r="Y12" s="229">
        <f>'FIM interventions data'!AR13+'FIM interventions data'!AS13+'FIM interventions data'!AT13+'FIM interventions data'!AU13</f>
        <v>5021154.8575622011</v>
      </c>
      <c r="Z12" s="326">
        <f>'FIM interventions data'!AV13+'FIM interventions data'!AW13+'FIM interventions data'!AX13+'FIM interventions data'!AY13</f>
        <v>163482894.92121601</v>
      </c>
    </row>
    <row r="13" spans="1:26">
      <c r="A13" s="9">
        <v>12</v>
      </c>
      <c r="B13" s="1" t="s">
        <v>368</v>
      </c>
      <c r="C13" s="1" t="s">
        <v>278</v>
      </c>
      <c r="D13" s="1">
        <v>0</v>
      </c>
      <c r="E13" s="199">
        <f>Demographics!H13*'Health conditions data'!E13*'Health conditions data'!H13</f>
        <v>931095.49704840663</v>
      </c>
      <c r="F13" s="198">
        <f>'Health insurance data'!F13*'Health insurance data'!R13*'Health insurance data'!S13</f>
        <v>208304.81358801492</v>
      </c>
      <c r="G13" s="198">
        <f>'Health insurance data'!I13*'Health insurance data'!V13*'Health insurance data'!W13</f>
        <v>185032.48768699839</v>
      </c>
      <c r="H13" s="198">
        <f>'Health insurance data'!L13*'Health insurance data'!AF13*'Health insurance data'!AG13</f>
        <v>544619.90354118624</v>
      </c>
      <c r="I13" s="198">
        <f>'Health insurance data'!O13*'Health insurance data'!AA13*'Health insurance data'!AB13</f>
        <v>16680.158333333347</v>
      </c>
      <c r="J13" s="78">
        <f>Demographics!H13*Demographics!U13*'Health conditions data'!K13*'Health conditions data'!N13</f>
        <v>234841.93388429729</v>
      </c>
      <c r="K13" s="118">
        <f>'Health insurance data'!F13*Demographics!AC13*'Health insurance data'!AK13*'Health insurance data'!AL13</f>
        <v>164399.68203755686</v>
      </c>
      <c r="L13" s="118">
        <f>'Health insurance data'!I13*Demographics!AD13*'Health insurance data'!AO13*'Health insurance data'!AP13</f>
        <v>87178.871380679993</v>
      </c>
      <c r="M13" s="118">
        <f>'Health insurance data'!L13*Demographics!AE13*'Health insurance data'!AW13*'Health insurance data'!AX13</f>
        <v>96662.800630769416</v>
      </c>
      <c r="N13" s="118">
        <f>'Health insurance data'!O13*Demographics!AF13*'Health insurance data'!AS13*'Health insurance data'!AT13</f>
        <v>3684.4721207590228</v>
      </c>
      <c r="O13" s="196">
        <f>Demographics!H13*'Health conditions data'!P13</f>
        <v>226182.94700000001</v>
      </c>
      <c r="P13" s="240">
        <f>'FIM interventions data'!E14+'FIM interventions data'!G14+'FIM interventions data'!I14+'FIM interventions data'!K14</f>
        <v>1096435711.0322745</v>
      </c>
      <c r="Q13" s="240">
        <f>'FIM interventions data'!L14+'FIM interventions data'!M14+'FIM interventions data'!N14+'FIM interventions data'!O14</f>
        <v>245294749.16572028</v>
      </c>
      <c r="R13" s="240">
        <f>'FIM interventions data'!P14+'FIM interventions data'!Q14+'FIM interventions data'!R14+'FIM interventions data'!S14</f>
        <v>217889816.72050485</v>
      </c>
      <c r="S13" s="240">
        <f>'FIM interventions data'!T14+'FIM interventions data'!U14+'FIM interventions data'!V14+'FIM interventions data'!W14</f>
        <v>641331327.53241611</v>
      </c>
      <c r="T13" s="192">
        <f>'FIM interventions data'!X14+'FIM interventions data'!Y14+'FIM interventions data'!Z14+'FIM interventions data'!AA14</f>
        <v>19642154.129533354</v>
      </c>
      <c r="U13" s="240">
        <f>'FIM interventions data'!AB14+'FIM interventions data'!AC14+'FIM interventions data'!AD14+'FIM interventions data'!AE14</f>
        <v>276544225.13573527</v>
      </c>
      <c r="V13" s="230">
        <f>'FIM interventions data'!AF14+'FIM interventions data'!AG14+'FIM interventions data'!AH14+'FIM interventions data'!AI14</f>
        <v>193593119.97505808</v>
      </c>
      <c r="W13" s="230">
        <f>'FIM interventions data'!AJ14+'FIM interventions data'!AK14+'FIM interventions data'!AL14+'FIM interventions data'!AM14</f>
        <v>102659746.64497563</v>
      </c>
      <c r="X13" s="230">
        <f>'FIM interventions data'!AN14+'FIM interventions data'!AO14+'FIM interventions data'!AP14+'FIM interventions data'!AQ14</f>
        <v>113827794.11557893</v>
      </c>
      <c r="Y13" s="229">
        <f>'FIM interventions data'!AR14+'FIM interventions data'!AS14+'FIM interventions data'!AT14+'FIM interventions data'!AU14</f>
        <v>4338745.9420749284</v>
      </c>
      <c r="Z13" s="326">
        <f>'FIM interventions data'!AV14+'FIM interventions data'!AW14+'FIM interventions data'!AX14+'FIM interventions data'!AY14</f>
        <v>266347609.996472</v>
      </c>
    </row>
    <row r="14" spans="1:26">
      <c r="A14" s="9">
        <v>13</v>
      </c>
      <c r="B14" s="1" t="s">
        <v>372</v>
      </c>
      <c r="C14" s="1" t="s">
        <v>373</v>
      </c>
      <c r="D14" s="1">
        <v>0</v>
      </c>
      <c r="E14" s="199">
        <f>Demographics!H14*'Health conditions data'!E14*'Health conditions data'!H14</f>
        <v>5682016.1435149712</v>
      </c>
      <c r="F14" s="198">
        <f>'Health insurance data'!F14*'Health insurance data'!R14*'Health insurance data'!S14</f>
        <v>1388277.8400710237</v>
      </c>
      <c r="G14" s="198">
        <f>'Health insurance data'!I14*'Health insurance data'!V14*'Health insurance data'!W14</f>
        <v>1307875.2581999998</v>
      </c>
      <c r="H14" s="198">
        <f>'Health insurance data'!L14*'Health insurance data'!AF14*'Health insurance data'!AG14</f>
        <v>3723646.324407503</v>
      </c>
      <c r="I14" s="198">
        <f>'Health insurance data'!O14*'Health insurance data'!AA14*'Health insurance data'!AB14</f>
        <v>43330.084090909084</v>
      </c>
      <c r="J14" s="78">
        <f>Demographics!H14*Demographics!U14*'Health conditions data'!K14*'Health conditions data'!N14</f>
        <v>1261330.4510022281</v>
      </c>
      <c r="K14" s="118">
        <f>'Health insurance data'!F14*Demographics!AC14*'Health insurance data'!AK14*'Health insurance data'!AL14</f>
        <v>874979.55034196156</v>
      </c>
      <c r="L14" s="118">
        <f>'Health insurance data'!I14*Demographics!AD14*'Health insurance data'!AO14*'Health insurance data'!AP14</f>
        <v>289829.84135713882</v>
      </c>
      <c r="M14" s="118">
        <f>'Health insurance data'!L14*Demographics!AE14*'Health insurance data'!AW14*'Health insurance data'!AX14</f>
        <v>396974.90995233686</v>
      </c>
      <c r="N14" s="118">
        <f>'Health insurance data'!O14*Demographics!AF14*'Health insurance data'!AS14*'Health insurance data'!AT14</f>
        <v>6210.5607341460445</v>
      </c>
      <c r="O14" s="196">
        <f>Demographics!H14*'Health conditions data'!P14</f>
        <v>1576059.5919999999</v>
      </c>
      <c r="P14" s="240">
        <f>'FIM interventions data'!E15+'FIM interventions data'!G15+'FIM interventions data'!I15+'FIM interventions data'!K15</f>
        <v>6691005842.2157869</v>
      </c>
      <c r="Q14" s="240">
        <f>'FIM interventions data'!L15+'FIM interventions data'!M15+'FIM interventions data'!N15+'FIM interventions data'!O15</f>
        <v>1634802665.7994761</v>
      </c>
      <c r="R14" s="240">
        <f>'FIM interventions data'!P15+'FIM interventions data'!Q15+'FIM interventions data'!R15+'FIM interventions data'!S15</f>
        <v>1540122515.050123</v>
      </c>
      <c r="S14" s="240">
        <f>'FIM interventions data'!T15+'FIM interventions data'!U15+'FIM interventions data'!V15+'FIM interventions data'!W15</f>
        <v>4384876544.1104908</v>
      </c>
      <c r="T14" s="192">
        <f>'FIM interventions data'!X15+'FIM interventions data'!Y15+'FIM interventions data'!Z15+'FIM interventions data'!AA15</f>
        <v>51024467.103436358</v>
      </c>
      <c r="U14" s="240">
        <f>'FIM interventions data'!AB15+'FIM interventions data'!AC15+'FIM interventions data'!AD15+'FIM interventions data'!AE15</f>
        <v>1485312467.1694</v>
      </c>
      <c r="V14" s="230">
        <f>'FIM interventions data'!AF15+'FIM interventions data'!AG15+'FIM interventions data'!AH15+'FIM interventions data'!AI15</f>
        <v>1030354918.9734857</v>
      </c>
      <c r="W14" s="230">
        <f>'FIM interventions data'!AJ15+'FIM interventions data'!AK15+'FIM interventions data'!AL15+'FIM interventions data'!AM15</f>
        <v>341296665.26597416</v>
      </c>
      <c r="X14" s="230">
        <f>'FIM interventions data'!AN15+'FIM interventions data'!AO15+'FIM interventions data'!AP15+'FIM interventions data'!AQ15</f>
        <v>467468126.56203318</v>
      </c>
      <c r="Y14" s="229">
        <f>'FIM interventions data'!AR15+'FIM interventions data'!AS15+'FIM interventions data'!AT15+'FIM interventions data'!AU15</f>
        <v>7313407.2670727642</v>
      </c>
      <c r="Z14" s="326">
        <f>'FIM interventions data'!AV15+'FIM interventions data'!AW15+'FIM interventions data'!AX15+'FIM interventions data'!AY15</f>
        <v>1855929950.1089921</v>
      </c>
    </row>
    <row r="15" spans="1:26">
      <c r="A15" s="9">
        <v>14</v>
      </c>
      <c r="B15" s="1" t="s">
        <v>378</v>
      </c>
      <c r="C15" s="1" t="s">
        <v>379</v>
      </c>
      <c r="D15" s="1">
        <v>1</v>
      </c>
      <c r="E15" s="199">
        <f>Demographics!H15*'Health conditions data'!E15*'Health conditions data'!H15</f>
        <v>3582509.8302980135</v>
      </c>
      <c r="F15" s="198">
        <f>'Health insurance data'!F15*'Health insurance data'!R15*'Health insurance data'!S15</f>
        <v>649749.89061881485</v>
      </c>
      <c r="G15" s="198">
        <f>'Health insurance data'!I15*'Health insurance data'!V15*'Health insurance data'!W15</f>
        <v>545254.23923220998</v>
      </c>
      <c r="H15" s="198">
        <f>'Health insurance data'!L15*'Health insurance data'!AF15*'Health insurance data'!AG15</f>
        <v>1910974.2283589279</v>
      </c>
      <c r="I15" s="198">
        <f>'Health insurance data'!O15*'Health insurance data'!AA15*'Health insurance data'!AB15</f>
        <v>27782.849535603709</v>
      </c>
      <c r="J15" s="78">
        <f>Demographics!H15*Demographics!U15*'Health conditions data'!K15*'Health conditions data'!N15</f>
        <v>992766.5395683453</v>
      </c>
      <c r="K15" s="118">
        <f>'Health insurance data'!F15*Demographics!AC15*'Health insurance data'!AK15*'Health insurance data'!AL15</f>
        <v>723466.76243811869</v>
      </c>
      <c r="L15" s="118">
        <f>'Health insurance data'!I15*Demographics!AD15*'Health insurance data'!AO15*'Health insurance data'!AP15</f>
        <v>187675.80679270494</v>
      </c>
      <c r="M15" s="118">
        <f>'Health insurance data'!L15*Demographics!AE15*'Health insurance data'!AW15*'Health insurance data'!AX15</f>
        <v>223394.86790300481</v>
      </c>
      <c r="N15" s="118">
        <f>'Health insurance data'!O15*Demographics!AF15*'Health insurance data'!AS15*'Health insurance data'!AT15</f>
        <v>7615.9770398826522</v>
      </c>
      <c r="O15" s="196">
        <f>Demographics!H15*'Health conditions data'!P15</f>
        <v>844761.54999999993</v>
      </c>
      <c r="P15" s="240">
        <f>'FIM interventions data'!E16+'FIM interventions data'!G16+'FIM interventions data'!I16+'FIM interventions data'!K16</f>
        <v>4218677595.9230142</v>
      </c>
      <c r="Q15" s="240">
        <f>'FIM interventions data'!L16+'FIM interventions data'!M16+'FIM interventions data'!N16+'FIM interventions data'!O16</f>
        <v>765129877.19534171</v>
      </c>
      <c r="R15" s="240">
        <f>'FIM interventions data'!P16+'FIM interventions data'!Q16+'FIM interventions data'!R16+'FIM interventions data'!S16</f>
        <v>642078306.01810896</v>
      </c>
      <c r="S15" s="240">
        <f>'FIM interventions data'!T16+'FIM interventions data'!U16+'FIM interventions data'!V16+'FIM interventions data'!W16</f>
        <v>2250317387.9339929</v>
      </c>
      <c r="T15" s="192">
        <f>'FIM interventions data'!X16+'FIM interventions data'!Y16+'FIM interventions data'!Z16+'FIM interventions data'!AA16</f>
        <v>32716416.824738078</v>
      </c>
      <c r="U15" s="240">
        <f>'FIM interventions data'!AB16+'FIM interventions data'!AC16+'FIM interventions data'!AD16+'FIM interventions data'!AE16</f>
        <v>1169058050.5987339</v>
      </c>
      <c r="V15" s="230">
        <f>'FIM interventions data'!AF16+'FIM interventions data'!AG16+'FIM interventions data'!AH16+'FIM interventions data'!AI16</f>
        <v>851937096.24483013</v>
      </c>
      <c r="W15" s="230">
        <f>'FIM interventions data'!AJ16+'FIM interventions data'!AK16+'FIM interventions data'!AL16+'FIM interventions data'!AM16</f>
        <v>221002525.85972634</v>
      </c>
      <c r="X15" s="230">
        <f>'FIM interventions data'!AN16+'FIM interventions data'!AO16+'FIM interventions data'!AP16+'FIM interventions data'!AQ16</f>
        <v>263064434.96574882</v>
      </c>
      <c r="Y15" s="229">
        <f>'FIM interventions data'!AR16+'FIM interventions data'!AS16+'FIM interventions data'!AT16+'FIM interventions data'!AU16</f>
        <v>8968391.7787168548</v>
      </c>
      <c r="Z15" s="326">
        <f>'FIM interventions data'!AV16+'FIM interventions data'!AW16+'FIM interventions data'!AX16+'FIM interventions data'!AY16</f>
        <v>994770927.00279999</v>
      </c>
    </row>
    <row r="16" spans="1:26">
      <c r="A16" s="9">
        <v>15</v>
      </c>
      <c r="B16" s="1" t="s">
        <v>383</v>
      </c>
      <c r="C16" s="1" t="s">
        <v>384</v>
      </c>
      <c r="D16" s="1">
        <v>0</v>
      </c>
      <c r="E16" s="199">
        <f>Demographics!H16*'Health conditions data'!E16*'Health conditions data'!H16</f>
        <v>1517461.2941176477</v>
      </c>
      <c r="F16" s="198">
        <f>'Health insurance data'!F16*'Health insurance data'!R16*'Health insurance data'!S16</f>
        <v>408508.19322562945</v>
      </c>
      <c r="G16" s="198">
        <f>'Health insurance data'!I16*'Health insurance data'!V16*'Health insurance data'!W16</f>
        <v>290772.83191374631</v>
      </c>
      <c r="H16" s="198">
        <f>'Health insurance data'!L16*'Health insurance data'!AF16*'Health insurance data'!AG16</f>
        <v>1008404.6356697686</v>
      </c>
      <c r="I16" s="198">
        <f>'Health insurance data'!O16*'Health insurance data'!AA16*'Health insurance data'!AB16</f>
        <v>14439.355636363623</v>
      </c>
      <c r="J16" s="78">
        <f>Demographics!H16*Demographics!U16*'Health conditions data'!K16*'Health conditions data'!N16</f>
        <v>394973.60085836914</v>
      </c>
      <c r="K16" s="118">
        <f>'Health insurance data'!F16*Demographics!AC16*'Health insurance data'!AK16*'Health insurance data'!AL16</f>
        <v>299311.97335099522</v>
      </c>
      <c r="L16" s="118">
        <f>'Health insurance data'!I16*Demographics!AD16*'Health insurance data'!AO16*'Health insurance data'!AP16</f>
        <v>87672.460671140769</v>
      </c>
      <c r="M16" s="118">
        <f>'Health insurance data'!L16*Demographics!AE16*'Health insurance data'!AW16*'Health insurance data'!AX16</f>
        <v>104324.66268948629</v>
      </c>
      <c r="N16" s="118">
        <f>'Health insurance data'!O16*Demographics!AF16*'Health insurance data'!AS16*'Health insurance data'!AT16</f>
        <v>2353.418347097796</v>
      </c>
      <c r="O16" s="196">
        <f>Demographics!H16*'Health conditions data'!P16</f>
        <v>317665.82400000002</v>
      </c>
      <c r="P16" s="240">
        <f>'FIM interventions data'!E17+'FIM interventions data'!G17+'FIM interventions data'!I17+'FIM interventions data'!K17</f>
        <v>1786926000.8818834</v>
      </c>
      <c r="Q16" s="240">
        <f>'FIM interventions data'!L17+'FIM interventions data'!M17+'FIM interventions data'!N17+'FIM interventions data'!O17</f>
        <v>481049444.14586395</v>
      </c>
      <c r="R16" s="240">
        <f>'FIM interventions data'!P17+'FIM interventions data'!Q17+'FIM interventions data'!R17+'FIM interventions data'!S17</f>
        <v>342407108.31366175</v>
      </c>
      <c r="S16" s="240">
        <f>'FIM interventions data'!T17+'FIM interventions data'!U17+'FIM interventions data'!V17+'FIM interventions data'!W17</f>
        <v>1187473097.2534635</v>
      </c>
      <c r="T16" s="192">
        <f>'FIM interventions data'!X17+'FIM interventions data'!Y17+'FIM interventions data'!Z17+'FIM interventions data'!AA17</f>
        <v>17003438.652846534</v>
      </c>
      <c r="U16" s="240">
        <f>'FIM interventions data'!AB17+'FIM interventions data'!AC17+'FIM interventions data'!AD17+'FIM interventions data'!AE17</f>
        <v>465111433.00439489</v>
      </c>
      <c r="V16" s="230">
        <f>'FIM interventions data'!AF17+'FIM interventions data'!AG17+'FIM interventions data'!AH17+'FIM interventions data'!AI17</f>
        <v>352462596.33077157</v>
      </c>
      <c r="W16" s="230">
        <f>'FIM interventions data'!AJ17+'FIM interventions data'!AK17+'FIM interventions data'!AL17+'FIM interventions data'!AM17</f>
        <v>103240985.54727927</v>
      </c>
      <c r="X16" s="230">
        <f>'FIM interventions data'!AN17+'FIM interventions data'!AO17+'FIM interventions data'!AP17+'FIM interventions data'!AQ17</f>
        <v>122850218.99123451</v>
      </c>
      <c r="Y16" s="229">
        <f>'FIM interventions data'!AR17+'FIM interventions data'!AS17+'FIM interventions data'!AT17+'FIM interventions data'!AU17</f>
        <v>2771328.963502035</v>
      </c>
      <c r="Z16" s="326">
        <f>'FIM interventions data'!AV17+'FIM interventions data'!AW17+'FIM interventions data'!AX17+'FIM interventions data'!AY17</f>
        <v>374075650.36262405</v>
      </c>
    </row>
    <row r="17" spans="1:26">
      <c r="A17" s="9">
        <v>16</v>
      </c>
      <c r="B17" s="1" t="s">
        <v>388</v>
      </c>
      <c r="C17" s="1" t="s">
        <v>389</v>
      </c>
      <c r="D17" s="1">
        <v>0</v>
      </c>
      <c r="E17" s="199">
        <f>Demographics!H17*'Health conditions data'!E17*'Health conditions data'!H17</f>
        <v>1496218.9946104856</v>
      </c>
      <c r="F17" s="198">
        <f>'Health insurance data'!F17*'Health insurance data'!R17*'Health insurance data'!S17</f>
        <v>281568.32567088626</v>
      </c>
      <c r="G17" s="198">
        <f>'Health insurance data'!I17*'Health insurance data'!V17*'Health insurance data'!W17</f>
        <v>331902.06819709955</v>
      </c>
      <c r="H17" s="198">
        <f>'Health insurance data'!L17*'Health insurance data'!AF17*'Health insurance data'!AG17</f>
        <v>908119.83538356505</v>
      </c>
      <c r="I17" s="198">
        <f>'Health insurance data'!O17*'Health insurance data'!AA17*'Health insurance data'!AB17</f>
        <v>33694.373611111092</v>
      </c>
      <c r="J17" s="78">
        <f>Demographics!H17*Demographics!U17*'Health conditions data'!K17*'Health conditions data'!N17</f>
        <v>416736.30508474592</v>
      </c>
      <c r="K17" s="118">
        <f>'Health insurance data'!F17*Demographics!AC17*'Health insurance data'!AK17*'Health insurance data'!AL17</f>
        <v>200552.77131825691</v>
      </c>
      <c r="L17" s="118">
        <f>'Health insurance data'!I17*Demographics!AD17*'Health insurance data'!AO17*'Health insurance data'!AP17</f>
        <v>75702.881017793654</v>
      </c>
      <c r="M17" s="118">
        <f>'Health insurance data'!L17*Demographics!AE17*'Health insurance data'!AW17*'Health insurance data'!AX17</f>
        <v>124043.74247763774</v>
      </c>
      <c r="N17" s="118">
        <f>'Health insurance data'!O17*Demographics!AF17*'Health insurance data'!AS17*'Health insurance data'!AT17</f>
        <v>4845.3574484378141</v>
      </c>
      <c r="O17" s="196">
        <f>Demographics!H17*'Health conditions data'!P17</f>
        <v>314884.23599999998</v>
      </c>
      <c r="P17" s="240">
        <f>'FIM interventions data'!E18+'FIM interventions data'!G18+'FIM interventions data'!I18+'FIM interventions data'!K18</f>
        <v>1761911578.7974374</v>
      </c>
      <c r="Q17" s="240">
        <f>'FIM interventions data'!L18+'FIM interventions data'!M18+'FIM interventions data'!N18+'FIM interventions data'!O18</f>
        <v>331568102.6702196</v>
      </c>
      <c r="R17" s="240">
        <f>'FIM interventions data'!P18+'FIM interventions data'!Q18+'FIM interventions data'!R18+'FIM interventions data'!S18</f>
        <v>390839909.85926771</v>
      </c>
      <c r="S17" s="240">
        <f>'FIM interventions data'!T18+'FIM interventions data'!U18+'FIM interventions data'!V18+'FIM interventions data'!W18</f>
        <v>1069380123.271637</v>
      </c>
      <c r="T17" s="192">
        <f>'FIM interventions data'!X18+'FIM interventions data'!Y18+'FIM interventions data'!Z18+'FIM interventions data'!AA18</f>
        <v>39677685.699477762</v>
      </c>
      <c r="U17" s="240">
        <f>'FIM interventions data'!AB18+'FIM interventions data'!AC18+'FIM interventions data'!AD18+'FIM interventions data'!AE18</f>
        <v>490738671.19647479</v>
      </c>
      <c r="V17" s="230">
        <f>'FIM interventions data'!AF18+'FIM interventions data'!AG18+'FIM interventions data'!AH18+'FIM interventions data'!AI18</f>
        <v>236166130.23786771</v>
      </c>
      <c r="W17" s="230">
        <f>'FIM interventions data'!AJ18+'FIM interventions data'!AK18+'FIM interventions data'!AL18+'FIM interventions data'!AM18</f>
        <v>89145895.817409396</v>
      </c>
      <c r="X17" s="230">
        <f>'FIM interventions data'!AN18+'FIM interventions data'!AO18+'FIM interventions data'!AP18+'FIM interventions data'!AQ18</f>
        <v>146070934.09184676</v>
      </c>
      <c r="Y17" s="229">
        <f>'FIM interventions data'!AR18+'FIM interventions data'!AS18+'FIM interventions data'!AT18+'FIM interventions data'!AU18</f>
        <v>5705776.6427016081</v>
      </c>
      <c r="Z17" s="326">
        <f>'FIM interventions data'!AV18+'FIM interventions data'!AW18+'FIM interventions data'!AX18+'FIM interventions data'!AY18</f>
        <v>370800119.09193605</v>
      </c>
    </row>
    <row r="18" spans="1:26">
      <c r="A18" s="9">
        <v>17</v>
      </c>
      <c r="B18" s="1" t="s">
        <v>393</v>
      </c>
      <c r="C18" s="1" t="s">
        <v>394</v>
      </c>
      <c r="D18" s="1">
        <v>0</v>
      </c>
      <c r="E18" s="199">
        <f>Demographics!H18*'Health conditions data'!E18*'Health conditions data'!H18</f>
        <v>2920293.1560926493</v>
      </c>
      <c r="F18" s="351">
        <f>'Health insurance data'!F18*'Health insurance data'!R18*'Health insurance data'!S18</f>
        <v>787612.72740697686</v>
      </c>
      <c r="G18" s="351">
        <f>'Health insurance data'!I18*'Health insurance data'!V18*'Health insurance data'!W18</f>
        <v>603321.19879876182</v>
      </c>
      <c r="H18" s="351">
        <f>'Health insurance data'!L18*'Health insurance data'!AF18*'Health insurance data'!AG18</f>
        <v>1222701.9672661729</v>
      </c>
      <c r="I18" s="351">
        <f>'Health insurance data'!O18*'Health insurance data'!AA18*'Health insurance data'!AB18</f>
        <v>34251.480046874996</v>
      </c>
      <c r="J18" s="78">
        <f>Demographics!H18*Demographics!U18*'Health conditions data'!K18*'Health conditions data'!N18</f>
        <v>1035005.7353951889</v>
      </c>
      <c r="K18" s="339">
        <f>'Health insurance data'!F18*Demographics!AC18*'Health insurance data'!AK18*'Health insurance data'!AL18</f>
        <v>764070.9827058611</v>
      </c>
      <c r="L18" s="339">
        <f>'Health insurance data'!I18*Demographics!AD18*'Health insurance data'!AO18*'Health insurance data'!AP18</f>
        <v>157108.86450793641</v>
      </c>
      <c r="M18" s="339">
        <f>'Health insurance data'!L18*Demographics!AE18*'Health insurance data'!AW18*'Health insurance data'!AX18</f>
        <v>140688.37844717523</v>
      </c>
      <c r="N18" s="339">
        <f>'Health insurance data'!O18*Demographics!AF18*'Health insurance data'!AS18*'Health insurance data'!AT18</f>
        <v>8270.2257722288396</v>
      </c>
      <c r="O18" s="250">
        <f>Demographics!H18*'Health conditions data'!P18</f>
        <v>665313.93999999994</v>
      </c>
      <c r="P18" s="240">
        <f>'FIM interventions data'!E19+'FIM interventions data'!G19+'FIM interventions data'!I19+'FIM interventions data'!K19</f>
        <v>3438867133.5789576</v>
      </c>
      <c r="Q18" s="347">
        <f>'FIM interventions data'!L19+'FIM interventions data'!M19+'FIM interventions data'!N19+'FIM interventions data'!O19</f>
        <v>927473845.08899832</v>
      </c>
      <c r="R18" s="347">
        <f>'FIM interventions data'!P19+'FIM interventions data'!Q19+'FIM interventions data'!R19+'FIM interventions data'!S19</f>
        <v>710456563.99665082</v>
      </c>
      <c r="S18" s="347">
        <f>'FIM interventions data'!T19+'FIM interventions data'!U19+'FIM interventions data'!V19+'FIM interventions data'!W19</f>
        <v>1439824491.8054311</v>
      </c>
      <c r="T18" s="348">
        <f>'FIM interventions data'!X19+'FIM interventions data'!Y19+'FIM interventions data'!Z19+'FIM interventions data'!AA19</f>
        <v>40333720.867678873</v>
      </c>
      <c r="U18" s="347">
        <f>'FIM interventions data'!AB19+'FIM interventions data'!AC19+'FIM interventions data'!AD19+'FIM interventions data'!AE19</f>
        <v>1218797913.8637249</v>
      </c>
      <c r="V18" s="349">
        <f>'FIM interventions data'!AF19+'FIM interventions data'!AG19+'FIM interventions data'!AH19+'FIM interventions data'!AI19</f>
        <v>899751651.53083718</v>
      </c>
      <c r="W18" s="349">
        <f>'FIM interventions data'!AJ19+'FIM interventions data'!AK19+'FIM interventions data'!AL19+'FIM interventions data'!AM19</f>
        <v>185007628.23179775</v>
      </c>
      <c r="X18" s="349">
        <f>'FIM interventions data'!AN19+'FIM interventions data'!AO19+'FIM interventions data'!AP19+'FIM interventions data'!AQ19</f>
        <v>165671257.93831083</v>
      </c>
      <c r="Y18" s="350">
        <f>'FIM interventions data'!AR19+'FIM interventions data'!AS19+'FIM interventions data'!AT19+'FIM interventions data'!AU19</f>
        <v>9738819.3839581497</v>
      </c>
      <c r="Z18" s="326">
        <f>'FIM interventions data'!AV19+'FIM interventions data'!AW19+'FIM interventions data'!AX19+'FIM interventions data'!AY19</f>
        <v>783457728.20943999</v>
      </c>
    </row>
    <row r="19" spans="1:26">
      <c r="A19" s="9">
        <v>18</v>
      </c>
      <c r="B19" s="1" t="s">
        <v>398</v>
      </c>
      <c r="C19" s="1" t="s">
        <v>399</v>
      </c>
      <c r="D19" s="1">
        <v>0</v>
      </c>
      <c r="E19" s="199">
        <f>Demographics!H19*'Health conditions data'!E19*'Health conditions data'!H19</f>
        <v>2543766.8041237136</v>
      </c>
      <c r="F19" s="198">
        <f>'Health insurance data'!F19*'Health insurance data'!R19*'Health insurance data'!S19</f>
        <v>897840.54671210877</v>
      </c>
      <c r="G19" s="198">
        <f>'Health insurance data'!I19*'Health insurance data'!V19*'Health insurance data'!W19</f>
        <v>423947.4545454543</v>
      </c>
      <c r="H19" s="198">
        <f>'Health insurance data'!L19*'Health insurance data'!AF19*'Health insurance data'!AG19</f>
        <v>1221315.4966104764</v>
      </c>
      <c r="I19" s="198">
        <f>'Health insurance data'!O19*'Health insurance data'!AA19*'Health insurance data'!AB19</f>
        <v>29672.809411764672</v>
      </c>
      <c r="J19" s="78">
        <f>Demographics!H19*Demographics!U19*'Health conditions data'!K19*'Health conditions data'!N19</f>
        <v>991837.0698529412</v>
      </c>
      <c r="K19" s="118">
        <f>'Health insurance data'!F19*Demographics!AC19*'Health insurance data'!AK19*'Health insurance data'!AL19</f>
        <v>726305.67402985052</v>
      </c>
      <c r="L19" s="118">
        <f>'Health insurance data'!I19*Demographics!AD19*'Health insurance data'!AO19*'Health insurance data'!AP19</f>
        <v>191200.30199999971</v>
      </c>
      <c r="M19" s="118">
        <f>'Health insurance data'!L19*Demographics!AE19*'Health insurance data'!AW19*'Health insurance data'!AX19</f>
        <v>133148.93542726676</v>
      </c>
      <c r="N19" s="118">
        <f>'Health insurance data'!O19*Demographics!AF19*'Health insurance data'!AS19*'Health insurance data'!AT19</f>
        <v>6948.9561859582482</v>
      </c>
      <c r="O19" s="196">
        <f>Demographics!H19*'Health conditions data'!P19</f>
        <v>744833.88</v>
      </c>
      <c r="P19" s="240">
        <f>'FIM interventions data'!E20+'FIM interventions data'!G20+'FIM interventions data'!I20+'FIM interventions data'!K20</f>
        <v>2995478738.1327868</v>
      </c>
      <c r="Q19" s="240">
        <f>'FIM interventions data'!L20+'FIM interventions data'!M20+'FIM interventions data'!N20+'FIM interventions data'!O20</f>
        <v>1057275479.6350584</v>
      </c>
      <c r="R19" s="240">
        <f>'FIM interventions data'!P20+'FIM interventions data'!Q20+'FIM interventions data'!R20+'FIM interventions data'!S20</f>
        <v>499230347.73381793</v>
      </c>
      <c r="S19" s="240">
        <f>'FIM interventions data'!T20+'FIM interventions data'!U20+'FIM interventions data'!V20+'FIM interventions data'!W20</f>
        <v>1438191817.2365785</v>
      </c>
      <c r="T19" s="192">
        <f>'FIM interventions data'!X20+'FIM interventions data'!Y20+'FIM interventions data'!Z20+'FIM interventions data'!AA20</f>
        <v>34941988.215868205</v>
      </c>
      <c r="U19" s="240">
        <f>'FIM interventions data'!AB20+'FIM interventions data'!AC20+'FIM interventions data'!AD20+'FIM interventions data'!AE20</f>
        <v>1167963529.3691473</v>
      </c>
      <c r="V19" s="230">
        <f>'FIM interventions data'!AF20+'FIM interventions data'!AG20+'FIM interventions data'!AH20+'FIM interventions data'!AI20</f>
        <v>855280130.40137529</v>
      </c>
      <c r="W19" s="230">
        <f>'FIM interventions data'!AJ20+'FIM interventions data'!AK20+'FIM interventions data'!AL20+'FIM interventions data'!AM20</f>
        <v>225152886.8279517</v>
      </c>
      <c r="X19" s="230">
        <f>'FIM interventions data'!AN20+'FIM interventions data'!AO20+'FIM interventions data'!AP20+'FIM interventions data'!AQ20</f>
        <v>156792990.78469908</v>
      </c>
      <c r="Y19" s="229">
        <f>'FIM interventions data'!AR20+'FIM interventions data'!AS20+'FIM interventions data'!AT20+'FIM interventions data'!AU20</f>
        <v>8182924.0296359705</v>
      </c>
      <c r="Z19" s="326">
        <f>'FIM interventions data'!AV20+'FIM interventions data'!AW20+'FIM interventions data'!AX20+'FIM interventions data'!AY20</f>
        <v>877098501.07488012</v>
      </c>
    </row>
    <row r="20" spans="1:26">
      <c r="A20" s="9">
        <v>19</v>
      </c>
      <c r="B20" s="1" t="s">
        <v>403</v>
      </c>
      <c r="C20" s="1" t="s">
        <v>404</v>
      </c>
      <c r="D20" s="1">
        <v>0</v>
      </c>
      <c r="E20" s="199">
        <f>Demographics!H20*'Health conditions data'!E20*'Health conditions data'!H20</f>
        <v>803088.51454138651</v>
      </c>
      <c r="F20" s="198">
        <f>'Health insurance data'!F20*'Health insurance data'!R20*'Health insurance data'!S20</f>
        <v>129347.61277139185</v>
      </c>
      <c r="G20" s="198">
        <f>'Health insurance data'!I20*'Health insurance data'!V20*'Health insurance data'!W20</f>
        <v>121340.34884999999</v>
      </c>
      <c r="H20" s="198">
        <f>'Health insurance data'!L20*'Health insurance data'!AF20*'Health insurance data'!AG20</f>
        <v>355024.9028672236</v>
      </c>
      <c r="I20" s="198">
        <f>'Health insurance data'!O20*'Health insurance data'!AA20*'Health insurance data'!AB20</f>
        <v>1532.7403636363651</v>
      </c>
      <c r="J20" s="78">
        <f>Demographics!H20*Demographics!U20*'Health conditions data'!K20*'Health conditions data'!N20</f>
        <v>216869.92665036695</v>
      </c>
      <c r="K20" s="118">
        <f>'Health insurance data'!F20*Demographics!AC20*'Health insurance data'!AK20*'Health insurance data'!AL20</f>
        <v>171662.70140692854</v>
      </c>
      <c r="L20" s="118">
        <f>'Health insurance data'!I20*Demographics!AD20*'Health insurance data'!AO20*'Health insurance data'!AP20</f>
        <v>70706.784717168906</v>
      </c>
      <c r="M20" s="118">
        <f>'Health insurance data'!L20*Demographics!AE20*'Health insurance data'!AW20*'Health insurance data'!AX20</f>
        <v>47297.226638886808</v>
      </c>
      <c r="N20" s="118">
        <f>'Health insurance data'!O20*Demographics!AF20*'Health insurance data'!AS20*'Health insurance data'!AT20</f>
        <v>2497.2161092988099</v>
      </c>
      <c r="O20" s="196">
        <f>Demographics!H20*'Health conditions data'!P20</f>
        <v>153146.30799999999</v>
      </c>
      <c r="P20" s="240">
        <f>'FIM interventions data'!E21+'FIM interventions data'!G21+'FIM interventions data'!I21+'FIM interventions data'!K21</f>
        <v>945697760.5995878</v>
      </c>
      <c r="Q20" s="240">
        <f>'FIM interventions data'!L21+'FIM interventions data'!M21+'FIM interventions data'!N21+'FIM interventions data'!O21</f>
        <v>152316644.45688456</v>
      </c>
      <c r="R20" s="240">
        <f>'FIM interventions data'!P21+'FIM interventions data'!Q21+'FIM interventions data'!R21+'FIM interventions data'!S21</f>
        <v>142887482.63738763</v>
      </c>
      <c r="S20" s="240">
        <f>'FIM interventions data'!T21+'FIM interventions data'!U21+'FIM interventions data'!V21+'FIM interventions data'!W21</f>
        <v>418068805.01877379</v>
      </c>
      <c r="T20" s="192">
        <f>'FIM interventions data'!X21+'FIM interventions data'!Y21+'FIM interventions data'!Z21+'FIM interventions data'!AA21</f>
        <v>1804918.2664494566</v>
      </c>
      <c r="U20" s="240">
        <f>'FIM interventions data'!AB21+'FIM interventions data'!AC21+'FIM interventions data'!AD21+'FIM interventions data'!AE21</f>
        <v>255380820.74523252</v>
      </c>
      <c r="V20" s="230">
        <f>'FIM interventions data'!AF21+'FIM interventions data'!AG21+'FIM interventions data'!AH21+'FIM interventions data'!AI21</f>
        <v>202145877.27196532</v>
      </c>
      <c r="W20" s="230">
        <f>'FIM interventions data'!AJ21+'FIM interventions data'!AK21+'FIM interventions data'!AL21+'FIM interventions data'!AM21</f>
        <v>83262612.720104903</v>
      </c>
      <c r="X20" s="230">
        <f>'FIM interventions data'!AN21+'FIM interventions data'!AO21+'FIM interventions data'!AP21+'FIM interventions data'!AQ21</f>
        <v>55696078.956513777</v>
      </c>
      <c r="Y20" s="229">
        <f>'FIM interventions data'!AR21+'FIM interventions data'!AS21+'FIM interventions data'!AT21+'FIM interventions data'!AU21</f>
        <v>2940661.7571236556</v>
      </c>
      <c r="Z20" s="326">
        <f>'FIM interventions data'!AV21+'FIM interventions data'!AW21+'FIM interventions data'!AX21+'FIM interventions data'!AY21</f>
        <v>180341416.78940803</v>
      </c>
    </row>
    <row r="21" spans="1:26">
      <c r="A21" s="9">
        <v>20</v>
      </c>
      <c r="B21" s="1" t="s">
        <v>408</v>
      </c>
      <c r="C21" s="1" t="s">
        <v>409</v>
      </c>
      <c r="D21" s="1">
        <v>0</v>
      </c>
      <c r="E21" s="199">
        <f>Demographics!H21*'Health conditions data'!E21*'Health conditions data'!H21</f>
        <v>2854522.6377295465</v>
      </c>
      <c r="F21" s="198">
        <f>'Health insurance data'!F21*'Health insurance data'!R21*'Health insurance data'!S21</f>
        <v>608847.45018864225</v>
      </c>
      <c r="G21" s="198">
        <f>'Health insurance data'!I21*'Health insurance data'!V21*'Health insurance data'!W21</f>
        <v>525862.96155941242</v>
      </c>
      <c r="H21" s="198">
        <f>'Health insurance data'!L21*'Health insurance data'!AF21*'Health insurance data'!AG21</f>
        <v>1825520.0847772982</v>
      </c>
      <c r="I21" s="198">
        <f>'Health insurance data'!O21*'Health insurance data'!AA21*'Health insurance data'!AB21</f>
        <v>54803.175000000003</v>
      </c>
      <c r="J21" s="78">
        <f>Demographics!H21*Demographics!U21*'Health conditions data'!K21*'Health conditions data'!N21</f>
        <v>547715.37704917986</v>
      </c>
      <c r="K21" s="118">
        <f>'Health insurance data'!F21*Demographics!AC21*'Health insurance data'!AK21*'Health insurance data'!AL21</f>
        <v>484750.22853618226</v>
      </c>
      <c r="L21" s="118">
        <f>'Health insurance data'!I21*Demographics!AD21*'Health insurance data'!AO21*'Health insurance data'!AP21</f>
        <v>138679.69147374385</v>
      </c>
      <c r="M21" s="118">
        <f>'Health insurance data'!L21*Demographics!AE21*'Health insurance data'!AW21*'Health insurance data'!AX21</f>
        <v>124783.10860708401</v>
      </c>
      <c r="N21" s="118">
        <f>'Health insurance data'!O21*Demographics!AF21*'Health insurance data'!AS21*'Health insurance data'!AT21</f>
        <v>7861.7671519125515</v>
      </c>
      <c r="O21" s="196">
        <f>Demographics!H21*'Health conditions data'!P21</f>
        <v>651374.88</v>
      </c>
      <c r="P21" s="240">
        <f>'FIM interventions data'!E22+'FIM interventions data'!G22+'FIM interventions data'!I22+'FIM interventions data'!K22</f>
        <v>3361417349.6470089</v>
      </c>
      <c r="Q21" s="240">
        <f>'FIM interventions data'!L22+'FIM interventions data'!M22+'FIM interventions data'!N22+'FIM interventions data'!O22</f>
        <v>716964145.00334072</v>
      </c>
      <c r="R21" s="240">
        <f>'FIM interventions data'!P22+'FIM interventions data'!Q22+'FIM interventions data'!R22+'FIM interventions data'!S22</f>
        <v>619243602.82128668</v>
      </c>
      <c r="S21" s="240">
        <f>'FIM interventions data'!T22+'FIM interventions data'!U22+'FIM interventions data'!V22+'FIM interventions data'!W22</f>
        <v>2149688639.3517122</v>
      </c>
      <c r="T21" s="192">
        <f>'FIM interventions data'!X22+'FIM interventions data'!Y22+'FIM interventions data'!Z22+'FIM interventions data'!AA22</f>
        <v>64534903.603800014</v>
      </c>
      <c r="U21" s="240">
        <f>'FIM interventions data'!AB22+'FIM interventions data'!AC22+'FIM interventions data'!AD22+'FIM interventions data'!AE22</f>
        <v>644976482.84406507</v>
      </c>
      <c r="V21" s="230">
        <f>'FIM interventions data'!AF22+'FIM interventions data'!AG22+'FIM interventions data'!AH22+'FIM interventions data'!AI22</f>
        <v>570830235.11872339</v>
      </c>
      <c r="W21" s="230">
        <f>'FIM interventions data'!AJ22+'FIM interventions data'!AK22+'FIM interventions data'!AL22+'FIM interventions data'!AM22</f>
        <v>163305876.36688542</v>
      </c>
      <c r="X21" s="230">
        <f>'FIM interventions data'!AN22+'FIM interventions data'!AO22+'FIM interventions data'!AP22+'FIM interventions data'!AQ22</f>
        <v>146941593.90109557</v>
      </c>
      <c r="Y21" s="229">
        <f>'FIM interventions data'!AR22+'FIM interventions data'!AS22+'FIM interventions data'!AT22+'FIM interventions data'!AU22</f>
        <v>9257828.3156805765</v>
      </c>
      <c r="Z21" s="326">
        <f>'FIM interventions data'!AV22+'FIM interventions data'!AW22+'FIM interventions data'!AX22+'FIM interventions data'!AY22</f>
        <v>767043425.69088006</v>
      </c>
    </row>
    <row r="22" spans="1:26">
      <c r="A22" s="9">
        <v>21</v>
      </c>
      <c r="B22" s="1" t="s">
        <v>413</v>
      </c>
      <c r="C22" s="1" t="s">
        <v>414</v>
      </c>
      <c r="D22" s="1">
        <v>1</v>
      </c>
      <c r="E22" s="199">
        <f>Demographics!H22*'Health conditions data'!E22*'Health conditions data'!H22</f>
        <v>3130627.0220801835</v>
      </c>
      <c r="F22" s="198">
        <f>'Health insurance data'!F22*'Health insurance data'!R22*'Health insurance data'!S22</f>
        <v>1213810.2220446849</v>
      </c>
      <c r="G22" s="198">
        <f>'Health insurance data'!I22*'Health insurance data'!V22*'Health insurance data'!W22</f>
        <v>718046.24655777914</v>
      </c>
      <c r="H22" s="198">
        <f>'Health insurance data'!L22*'Health insurance data'!AF22*'Health insurance data'!AG22</f>
        <v>2287690.8413121379</v>
      </c>
      <c r="I22" s="198">
        <f>'Health insurance data'!O22*'Health insurance data'!AA22*'Health insurance data'!AB22</f>
        <v>15558.138576576579</v>
      </c>
      <c r="J22" s="78">
        <f>Demographics!H22*Demographics!U22*'Health conditions data'!K22*'Health conditions data'!N22</f>
        <v>593273.79200000037</v>
      </c>
      <c r="K22" s="118">
        <f>'Health insurance data'!F22*Demographics!AC22*'Health insurance data'!AK22*'Health insurance data'!AL22</f>
        <v>577636.68994922761</v>
      </c>
      <c r="L22" s="118">
        <f>'Health insurance data'!I22*Demographics!AD22*'Health insurance data'!AO22*'Health insurance data'!AP22</f>
        <v>114366.95980185305</v>
      </c>
      <c r="M22" s="118">
        <f>'Health insurance data'!L22*Demographics!AE22*'Health insurance data'!AW22*'Health insurance data'!AX22</f>
        <v>166346.70561736531</v>
      </c>
      <c r="N22" s="118">
        <f>'Health insurance data'!O22*Demographics!AF22*'Health insurance data'!AS22*'Health insurance data'!AT22</f>
        <v>2300.2838033170724</v>
      </c>
      <c r="O22" s="196">
        <f>Demographics!H22*'Health conditions data'!P22</f>
        <v>663663.90300000005</v>
      </c>
      <c r="P22" s="240">
        <f>'FIM interventions data'!E23+'FIM interventions data'!G23+'FIM interventions data'!I23+'FIM interventions data'!K23</f>
        <v>3686551246.1530943</v>
      </c>
      <c r="Q22" s="240">
        <f>'FIM interventions data'!L23+'FIM interventions data'!M23+'FIM interventions data'!N23+'FIM interventions data'!O23</f>
        <v>1429353786.0344923</v>
      </c>
      <c r="R22" s="240">
        <f>'FIM interventions data'!P23+'FIM interventions data'!Q23+'FIM interventions data'!R23+'FIM interventions data'!S23</f>
        <v>845554026.83652353</v>
      </c>
      <c r="S22" s="240">
        <f>'FIM interventions data'!T23+'FIM interventions data'!U23+'FIM interventions data'!V23+'FIM interventions data'!W23</f>
        <v>2693929830.1489825</v>
      </c>
      <c r="T22" s="192">
        <f>'FIM interventions data'!X23+'FIM interventions data'!Y23+'FIM interventions data'!Z23+'FIM interventions data'!AA23</f>
        <v>18320890.592450745</v>
      </c>
      <c r="U22" s="240">
        <f>'FIM interventions data'!AB23+'FIM interventions data'!AC23+'FIM interventions data'!AD23+'FIM interventions data'!AE23</f>
        <v>698624978.88819253</v>
      </c>
      <c r="V22" s="230">
        <f>'FIM interventions data'!AF23+'FIM interventions data'!AG23+'FIM interventions data'!AH23+'FIM interventions data'!AI23</f>
        <v>680211102.80365181</v>
      </c>
      <c r="W22" s="230">
        <f>'FIM interventions data'!AJ23+'FIM interventions data'!AK23+'FIM interventions data'!AL23+'FIM interventions data'!AM23</f>
        <v>134675787.05562693</v>
      </c>
      <c r="X22" s="230">
        <f>'FIM interventions data'!AN23+'FIM interventions data'!AO23+'FIM interventions data'!AP23+'FIM interventions data'!AQ23</f>
        <v>195885888.21407461</v>
      </c>
      <c r="Y22" s="229">
        <f>'FIM interventions data'!AR23+'FIM interventions data'!AS23+'FIM interventions data'!AT23+'FIM interventions data'!AU23</f>
        <v>2708758.9999749055</v>
      </c>
      <c r="Z22" s="326">
        <f>'FIM interventions data'!AV23+'FIM interventions data'!AW23+'FIM interventions data'!AX23+'FIM interventions data'!AY23</f>
        <v>781514684.23912823</v>
      </c>
    </row>
    <row r="23" spans="1:26">
      <c r="A23" s="9">
        <v>22</v>
      </c>
      <c r="B23" s="1" t="s">
        <v>418</v>
      </c>
      <c r="C23" s="1" t="s">
        <v>419</v>
      </c>
      <c r="D23" s="1">
        <v>1</v>
      </c>
      <c r="E23" s="199">
        <f>Demographics!H23*'Health conditions data'!E23*'Health conditions data'!H23</f>
        <v>5590859.8337222924</v>
      </c>
      <c r="F23" s="198">
        <f>'Health insurance data'!F23*'Health insurance data'!R23*'Health insurance data'!S23</f>
        <v>1593536.9388180308</v>
      </c>
      <c r="G23" s="198">
        <f>'Health insurance data'!I23*'Health insurance data'!V23*'Health insurance data'!W23</f>
        <v>1249275.2974759622</v>
      </c>
      <c r="H23" s="198">
        <f>'Health insurance data'!L23*'Health insurance data'!AF23*'Health insurance data'!AG23</f>
        <v>3209861.2527304278</v>
      </c>
      <c r="I23" s="198">
        <f>'Health insurance data'!O23*'Health insurance data'!AA23*'Health insurance data'!AB23</f>
        <v>25351.147499999999</v>
      </c>
      <c r="J23" s="78">
        <f>Demographics!H23*Demographics!U23*'Health conditions data'!K23*'Health conditions data'!N23</f>
        <v>1674842.5153374246</v>
      </c>
      <c r="K23" s="118">
        <f>'Health insurance data'!F23*Demographics!AC23*'Health insurance data'!AK23*'Health insurance data'!AL23</f>
        <v>1250821.6061351602</v>
      </c>
      <c r="L23" s="118">
        <f>'Health insurance data'!I23*Demographics!AD23*'Health insurance data'!AO23*'Health insurance data'!AP23</f>
        <v>399387.73708889371</v>
      </c>
      <c r="M23" s="118">
        <f>'Health insurance data'!L23*Demographics!AE23*'Health insurance data'!AW23*'Health insurance data'!AX23</f>
        <v>409044.07600607618</v>
      </c>
      <c r="N23" s="118">
        <f>'Health insurance data'!O23*Demographics!AF23*'Health insurance data'!AS23*'Health insurance data'!AT23</f>
        <v>7843.399613995959</v>
      </c>
      <c r="O23" s="196">
        <f>Demographics!H23*'Health conditions data'!P23</f>
        <v>1318259.6700000002</v>
      </c>
      <c r="P23" s="240">
        <f>'FIM interventions data'!E24+'FIM interventions data'!G24+'FIM interventions data'!I24+'FIM interventions data'!K24</f>
        <v>6583662359.5553627</v>
      </c>
      <c r="Q23" s="240">
        <f>'FIM interventions data'!L24+'FIM interventions data'!M24+'FIM interventions data'!N24+'FIM interventions data'!O24</f>
        <v>1876510854.2655816</v>
      </c>
      <c r="R23" s="240">
        <f>'FIM interventions data'!P24+'FIM interventions data'!Q24+'FIM interventions data'!R24+'FIM interventions data'!S24</f>
        <v>1471116607.7005539</v>
      </c>
      <c r="S23" s="240">
        <f>'FIM interventions data'!T24+'FIM interventions data'!U24+'FIM interventions data'!V24+'FIM interventions data'!W24</f>
        <v>3779855574.5452871</v>
      </c>
      <c r="T23" s="192">
        <f>'FIM interventions data'!X24+'FIM interventions data'!Y24+'FIM interventions data'!Z24+'FIM interventions data'!AA24</f>
        <v>29852902.868460003</v>
      </c>
      <c r="U23" s="240">
        <f>'FIM interventions data'!AB24+'FIM interventions data'!AC24+'FIM interventions data'!AD24+'FIM interventions data'!AE24</f>
        <v>1972254349.8409832</v>
      </c>
      <c r="V23" s="230">
        <f>'FIM interventions data'!AF24+'FIM interventions data'!AG24+'FIM interventions data'!AH24+'FIM interventions data'!AI24</f>
        <v>1472937503.6662173</v>
      </c>
      <c r="W23" s="230">
        <f>'FIM interventions data'!AJ24+'FIM interventions data'!AK24+'FIM interventions data'!AL24+'FIM interventions data'!AM24</f>
        <v>470309413.8901912</v>
      </c>
      <c r="X23" s="230">
        <f>'FIM interventions data'!AN24+'FIM interventions data'!AO24+'FIM interventions data'!AP24+'FIM interventions data'!AQ24</f>
        <v>481680486.84693128</v>
      </c>
      <c r="Y23" s="229">
        <f>'FIM interventions data'!AR24+'FIM interventions data'!AS24+'FIM interventions data'!AT24+'FIM interventions data'!AU24</f>
        <v>9236199.1438509058</v>
      </c>
      <c r="Z23" s="326">
        <f>'FIM interventions data'!AV24+'FIM interventions data'!AW24+'FIM interventions data'!AX24+'FIM interventions data'!AY24</f>
        <v>1552350949.1599207</v>
      </c>
    </row>
    <row r="24" spans="1:26">
      <c r="A24" s="9">
        <v>23</v>
      </c>
      <c r="B24" s="1" t="s">
        <v>424</v>
      </c>
      <c r="C24" s="1" t="s">
        <v>425</v>
      </c>
      <c r="D24" s="1">
        <v>0</v>
      </c>
      <c r="E24" s="199">
        <f>Demographics!H24*'Health conditions data'!E24*'Health conditions data'!H24</f>
        <v>2884172.8801089912</v>
      </c>
      <c r="F24" s="198">
        <f>'Health insurance data'!F24*'Health insurance data'!R24*'Health insurance data'!S24</f>
        <v>717491.91027969285</v>
      </c>
      <c r="G24" s="198">
        <f>'Health insurance data'!I24*'Health insurance data'!V24*'Health insurance data'!W24</f>
        <v>532521.12154931424</v>
      </c>
      <c r="H24" s="198">
        <f>'Health insurance data'!L24*'Health insurance data'!AF24*'Health insurance data'!AG24</f>
        <v>1963312.642441862</v>
      </c>
      <c r="I24" s="198">
        <f>'Health insurance data'!O24*'Health insurance data'!AA24*'Health insurance data'!AB24</f>
        <v>21157.594956521756</v>
      </c>
      <c r="J24" s="78">
        <f>Demographics!H24*Demographics!U24*'Health conditions data'!K24*'Health conditions data'!N24</f>
        <v>574225.03374777932</v>
      </c>
      <c r="K24" s="118">
        <f>'Health insurance data'!F24*Demographics!AC24*'Health insurance data'!AK24*'Health insurance data'!AL24</f>
        <v>517406.12327481603</v>
      </c>
      <c r="L24" s="118">
        <f>'Health insurance data'!I24*Demographics!AD24*'Health insurance data'!AO24*'Health insurance data'!AP24</f>
        <v>114507.41939949268</v>
      </c>
      <c r="M24" s="118">
        <f>'Health insurance data'!L24*Demographics!AE24*'Health insurance data'!AW24*'Health insurance data'!AX24</f>
        <v>139743.91363636375</v>
      </c>
      <c r="N24" s="118">
        <f>'Health insurance data'!O24*Demographics!AF24*'Health insurance data'!AS24*'Health insurance data'!AT24</f>
        <v>2964.1251318468326</v>
      </c>
      <c r="O24" s="196">
        <f>Demographics!H24*'Health conditions data'!P24</f>
        <v>527176.74100000004</v>
      </c>
      <c r="P24" s="240">
        <f>'FIM interventions data'!E25+'FIM interventions data'!G25+'FIM interventions data'!I25+'FIM interventions data'!K25</f>
        <v>3396332763.467226</v>
      </c>
      <c r="Q24" s="240">
        <f>'FIM interventions data'!L25+'FIM interventions data'!M25+'FIM interventions data'!N25+'FIM interventions data'!O25</f>
        <v>844901253.73951972</v>
      </c>
      <c r="R24" s="240">
        <f>'FIM interventions data'!P25+'FIM interventions data'!Q25+'FIM interventions data'!R25+'FIM interventions data'!S25</f>
        <v>627084092.22955537</v>
      </c>
      <c r="S24" s="240">
        <f>'FIM interventions data'!T25+'FIM interventions data'!U25+'FIM interventions data'!V25+'FIM interventions data'!W25</f>
        <v>2311949848.2361183</v>
      </c>
      <c r="T24" s="192">
        <f>'FIM interventions data'!X25+'FIM interventions data'!Y25+'FIM interventions data'!Z25+'FIM interventions data'!AA25</f>
        <v>24914676.038521066</v>
      </c>
      <c r="U24" s="240">
        <f>'FIM interventions data'!AB25+'FIM interventions data'!AC25+'FIM interventions data'!AD25+'FIM interventions data'!AE25</f>
        <v>676193618.3405751</v>
      </c>
      <c r="V24" s="230">
        <f>'FIM interventions data'!AF25+'FIM interventions data'!AG25+'FIM interventions data'!AH25+'FIM interventions data'!AI25</f>
        <v>609285033.02146482</v>
      </c>
      <c r="W24" s="230">
        <f>'FIM interventions data'!AJ25+'FIM interventions data'!AK25+'FIM interventions data'!AL25+'FIM interventions data'!AM25</f>
        <v>134841188.90677699</v>
      </c>
      <c r="X24" s="230">
        <f>'FIM interventions data'!AN25+'FIM interventions data'!AO25+'FIM interventions data'!AP25+'FIM interventions data'!AQ25</f>
        <v>164559078.84425473</v>
      </c>
      <c r="Y24" s="229">
        <f>'FIM interventions data'!AR25+'FIM interventions data'!AS25+'FIM interventions data'!AT25+'FIM interventions data'!AU25</f>
        <v>3490482.6162596662</v>
      </c>
      <c r="Z24" s="326">
        <f>'FIM interventions data'!AV25+'FIM interventions data'!AW25+'FIM interventions data'!AX25+'FIM interventions data'!AY25</f>
        <v>620790677.9598161</v>
      </c>
    </row>
    <row r="25" spans="1:26">
      <c r="A25" s="9">
        <v>24</v>
      </c>
      <c r="B25" s="1" t="s">
        <v>429</v>
      </c>
      <c r="C25" s="1" t="s">
        <v>430</v>
      </c>
      <c r="D25" s="1">
        <v>0</v>
      </c>
      <c r="E25" s="199">
        <f>Demographics!H25*'Health conditions data'!E25*'Health conditions data'!H25</f>
        <v>1310406.8978102196</v>
      </c>
      <c r="F25" s="198">
        <f>'Health insurance data'!F25*'Health insurance data'!R25*'Health insurance data'!S25</f>
        <v>410221.41199084674</v>
      </c>
      <c r="G25" s="198">
        <f>'Health insurance data'!I25*'Health insurance data'!V25*'Health insurance data'!W25</f>
        <v>259641.4793698423</v>
      </c>
      <c r="H25" s="198">
        <f>'Health insurance data'!L25*'Health insurance data'!AF25*'Health insurance data'!AG25</f>
        <v>729597.50321927643</v>
      </c>
      <c r="I25" s="198">
        <f>'Health insurance data'!O25*'Health insurance data'!AA25*'Health insurance data'!AB25</f>
        <v>25730.622000000014</v>
      </c>
      <c r="J25" s="78">
        <f>Demographics!H25*Demographics!U25*'Health conditions data'!K25*'Health conditions data'!N25</f>
        <v>580475.3951612903</v>
      </c>
      <c r="K25" s="118">
        <f>'Health insurance data'!F25*Demographics!AC25*'Health insurance data'!AK25*'Health insurance data'!AL25</f>
        <v>290277.15304453846</v>
      </c>
      <c r="L25" s="118">
        <f>'Health insurance data'!I25*Demographics!AD25*'Health insurance data'!AO25*'Health insurance data'!AP25</f>
        <v>113406.80921052639</v>
      </c>
      <c r="M25" s="118">
        <f>'Health insurance data'!L25*Demographics!AE25*'Health insurance data'!AW25*'Health insurance data'!AX25</f>
        <v>148673.88626934955</v>
      </c>
      <c r="N25" s="118">
        <f>'Health insurance data'!O25*Demographics!AF25*'Health insurance data'!AS25*'Health insurance data'!AT25</f>
        <v>4107.1012884897245</v>
      </c>
      <c r="O25" s="196">
        <f>Demographics!H25*'Health conditions data'!P25</f>
        <v>476773.29000000004</v>
      </c>
      <c r="P25" s="240">
        <f>'FIM interventions data'!E26+'FIM interventions data'!G26+'FIM interventions data'!I26+'FIM interventions data'!K26</f>
        <v>1543103713.0957675</v>
      </c>
      <c r="Q25" s="240">
        <f>'FIM interventions data'!L26+'FIM interventions data'!M26+'FIM interventions data'!N26+'FIM interventions data'!O26</f>
        <v>483066889.44653344</v>
      </c>
      <c r="R25" s="240">
        <f>'FIM interventions data'!P26+'FIM interventions data'!Q26+'FIM interventions data'!R26+'FIM interventions data'!S26</f>
        <v>305747574.71042144</v>
      </c>
      <c r="S25" s="240">
        <f>'FIM interventions data'!T26+'FIM interventions data'!U26+'FIM interventions data'!V26+'FIM interventions data'!W26</f>
        <v>859156509.45094275</v>
      </c>
      <c r="T25" s="192">
        <f>'FIM interventions data'!X26+'FIM interventions data'!Y26+'FIM interventions data'!Z26+'FIM interventions data'!AA26</f>
        <v>30299762.932272021</v>
      </c>
      <c r="U25" s="240">
        <f>'FIM interventions data'!AB26+'FIM interventions data'!AC26+'FIM interventions data'!AD26+'FIM interventions data'!AE26</f>
        <v>683553893.93245173</v>
      </c>
      <c r="V25" s="230">
        <f>'FIM interventions data'!AF26+'FIM interventions data'!AG26+'FIM interventions data'!AH26+'FIM interventions data'!AI26</f>
        <v>341823408.77357543</v>
      </c>
      <c r="W25" s="230">
        <f>'FIM interventions data'!AJ26+'FIM interventions data'!AK26+'FIM interventions data'!AL26+'FIM interventions data'!AM26</f>
        <v>133545136.76289484</v>
      </c>
      <c r="X25" s="230">
        <f>'FIM interventions data'!AN26+'FIM interventions data'!AO26+'FIM interventions data'!AP26+'FIM interventions data'!AQ26</f>
        <v>175074800.29751557</v>
      </c>
      <c r="Y25" s="229">
        <f>'FIM interventions data'!AR26+'FIM interventions data'!AS26+'FIM interventions data'!AT26+'FIM interventions data'!AU26</f>
        <v>4836423.9068945767</v>
      </c>
      <c r="Z25" s="326">
        <f>'FIM interventions data'!AV26+'FIM interventions data'!AW26+'FIM interventions data'!AX26+'FIM interventions data'!AY26</f>
        <v>561436783.74504006</v>
      </c>
    </row>
    <row r="26" spans="1:26">
      <c r="A26" s="9">
        <v>25</v>
      </c>
      <c r="B26" s="1" t="s">
        <v>434</v>
      </c>
      <c r="C26" s="1" t="s">
        <v>435</v>
      </c>
      <c r="D26" s="1">
        <v>0</v>
      </c>
      <c r="E26" s="199">
        <f>Demographics!H26*'Health conditions data'!E26*'Health conditions data'!H26</f>
        <v>3129092.9450101824</v>
      </c>
      <c r="F26" s="198">
        <f>'Health insurance data'!F26*'Health insurance data'!R26*'Health insurance data'!S26</f>
        <v>527420.87237417768</v>
      </c>
      <c r="G26" s="198">
        <f>'Health insurance data'!I26*'Health insurance data'!V26*'Health insurance data'!W26</f>
        <v>641140.95800826442</v>
      </c>
      <c r="H26" s="198">
        <f>'Health insurance data'!L26*'Health insurance data'!AF26*'Health insurance data'!AG26</f>
        <v>1565846.4123516909</v>
      </c>
      <c r="I26" s="198">
        <f>'Health insurance data'!O26*'Health insurance data'!AA26*'Health insurance data'!AB26</f>
        <v>50864.51636538461</v>
      </c>
      <c r="J26" s="78">
        <f>Demographics!H26*Demographics!U26*'Health conditions data'!K26*'Health conditions data'!N26</f>
        <v>902148.42216358823</v>
      </c>
      <c r="K26" s="118">
        <f>'Health insurance data'!F26*Demographics!AC26*'Health insurance data'!AK26*'Health insurance data'!AL26</f>
        <v>516811.74476079788</v>
      </c>
      <c r="L26" s="118">
        <f>'Health insurance data'!I26*Demographics!AD26*'Health insurance data'!AO26*'Health insurance data'!AP26</f>
        <v>213749.11204434614</v>
      </c>
      <c r="M26" s="118">
        <f>'Health insurance data'!L26*Demographics!AE26*'Health insurance data'!AW26*'Health insurance data'!AX26</f>
        <v>182896.67612903149</v>
      </c>
      <c r="N26" s="118">
        <f>'Health insurance data'!O26*Demographics!AF26*'Health insurance data'!AS26*'Health insurance data'!AT26</f>
        <v>10893.019769512295</v>
      </c>
      <c r="O26" s="196">
        <f>Demographics!H26*'Health conditions data'!P26</f>
        <v>793174.18200000003</v>
      </c>
      <c r="P26" s="240">
        <f>'FIM interventions data'!E27+'FIM interventions data'!G27+'FIM interventions data'!I27+'FIM interventions data'!K27</f>
        <v>3684744753.8133111</v>
      </c>
      <c r="Q26" s="240">
        <f>'FIM interventions data'!L27+'FIM interventions data'!M27+'FIM interventions data'!N27+'FIM interventions data'!O27</f>
        <v>621078161.20689464</v>
      </c>
      <c r="R26" s="240">
        <f>'FIM interventions data'!P27+'FIM interventions data'!Q27+'FIM interventions data'!R27+'FIM interventions data'!S27</f>
        <v>754992204.7675401</v>
      </c>
      <c r="S26" s="240">
        <f>'FIM interventions data'!T27+'FIM interventions data'!U27+'FIM interventions data'!V27+'FIM interventions data'!W27</f>
        <v>1843903154.871455</v>
      </c>
      <c r="T26" s="192">
        <f>'FIM interventions data'!X27+'FIM interventions data'!Y27+'FIM interventions data'!Z27+'FIM interventions data'!AA27</f>
        <v>59896833.723484159</v>
      </c>
      <c r="U26" s="240">
        <f>'FIM interventions data'!AB27+'FIM interventions data'!AC27+'FIM interventions data'!AD27+'FIM interventions data'!AE27</f>
        <v>1062348330.3777096</v>
      </c>
      <c r="V26" s="230">
        <f>'FIM interventions data'!AF27+'FIM interventions data'!AG27+'FIM interventions data'!AH27+'FIM interventions data'!AI27</f>
        <v>608585107.14844131</v>
      </c>
      <c r="W26" s="230">
        <f>'FIM interventions data'!AJ27+'FIM interventions data'!AK27+'FIM interventions data'!AL27+'FIM interventions data'!AM27</f>
        <v>251705824.36473298</v>
      </c>
      <c r="X26" s="230">
        <f>'FIM interventions data'!AN27+'FIM interventions data'!AO27+'FIM interventions data'!AP27+'FIM interventions data'!AQ27</f>
        <v>215374736.28932041</v>
      </c>
      <c r="Y26" s="229">
        <f>'FIM interventions data'!AR27+'FIM interventions data'!AS27+'FIM interventions data'!AT27+'FIM interventions data'!AU27</f>
        <v>12827358.648103213</v>
      </c>
      <c r="Z26" s="326">
        <f>'FIM interventions data'!AV27+'FIM interventions data'!AW27+'FIM interventions data'!AX27+'FIM interventions data'!AY27</f>
        <v>934022880.54283214</v>
      </c>
    </row>
    <row r="27" spans="1:26">
      <c r="A27" s="9">
        <v>26</v>
      </c>
      <c r="B27" s="1" t="s">
        <v>439</v>
      </c>
      <c r="C27" s="1" t="s">
        <v>440</v>
      </c>
      <c r="D27" s="1">
        <v>0</v>
      </c>
      <c r="E27" s="199">
        <f>Demographics!H27*'Health conditions data'!E27*'Health conditions data'!H27</f>
        <v>584411.40277777787</v>
      </c>
      <c r="F27" s="198">
        <f>'Health insurance data'!F27*'Health insurance data'!R27*'Health insurance data'!S27</f>
        <v>151615.5972658642</v>
      </c>
      <c r="G27" s="198">
        <f>'Health insurance data'!I27*'Health insurance data'!V27*'Health insurance data'!W27</f>
        <v>132937.79922916659</v>
      </c>
      <c r="H27" s="198">
        <f>'Health insurance data'!L27*'Health insurance data'!AF27*'Health insurance data'!AG27</f>
        <v>284093.03171182785</v>
      </c>
      <c r="I27" s="198">
        <f>'Health insurance data'!O27*'Health insurance data'!AA27*'Health insurance data'!AB27</f>
        <v>16644.955727272729</v>
      </c>
      <c r="J27" s="78">
        <f>Demographics!H27*Demographics!U27*'Health conditions data'!K27*'Health conditions data'!N27</f>
        <v>162564.37499999985</v>
      </c>
      <c r="K27" s="118">
        <f>'Health insurance data'!F27*Demographics!AC27*'Health insurance data'!AK27*'Health insurance data'!AL27</f>
        <v>114808.23244491973</v>
      </c>
      <c r="L27" s="118">
        <f>'Health insurance data'!I27*Demographics!AD27*'Health insurance data'!AO27*'Health insurance data'!AP27</f>
        <v>30091.266538050513</v>
      </c>
      <c r="M27" s="118">
        <f>'Health insurance data'!L27*Demographics!AE27*'Health insurance data'!AW27*'Health insurance data'!AX27</f>
        <v>29263.813981868654</v>
      </c>
      <c r="N27" s="118">
        <f>'Health insurance data'!O27*Demographics!AF27*'Health insurance data'!AS27*'Health insurance data'!AT27</f>
        <v>2859.0998661971826</v>
      </c>
      <c r="O27" s="196">
        <f>Demographics!H27*'Health conditions data'!P27</f>
        <v>120546.69799999999</v>
      </c>
      <c r="P27" s="240">
        <f>'FIM interventions data'!E28+'FIM interventions data'!G28+'FIM interventions data'!I28+'FIM interventions data'!K28</f>
        <v>688188842.03744471</v>
      </c>
      <c r="Q27" s="240">
        <f>'FIM interventions data'!L28+'FIM interventions data'!M28+'FIM interventions data'!N28+'FIM interventions data'!O28</f>
        <v>178538888.56594735</v>
      </c>
      <c r="R27" s="240">
        <f>'FIM interventions data'!P28+'FIM interventions data'!Q28+'FIM interventions data'!R28+'FIM interventions data'!S28</f>
        <v>156544361.8650851</v>
      </c>
      <c r="S27" s="240">
        <f>'FIM interventions data'!T28+'FIM interventions data'!U28+'FIM interventions data'!V28+'FIM interventions data'!W28</f>
        <v>334541135.91108739</v>
      </c>
      <c r="T27" s="192">
        <f>'FIM interventions data'!X28+'FIM interventions data'!Y28+'FIM interventions data'!Z28+'FIM interventions data'!AA28</f>
        <v>19600700.385498911</v>
      </c>
      <c r="U27" s="240">
        <f>'FIM interventions data'!AB28+'FIM interventions data'!AC28+'FIM interventions data'!AD28+'FIM interventions data'!AE28</f>
        <v>191431906.45499986</v>
      </c>
      <c r="V27" s="230">
        <f>'FIM interventions data'!AF28+'FIM interventions data'!AG28+'FIM interventions data'!AH28+'FIM interventions data'!AI28</f>
        <v>135195419.1295588</v>
      </c>
      <c r="W27" s="230">
        <f>'FIM interventions data'!AJ28+'FIM interventions data'!AK28+'FIM interventions data'!AL28+'FIM interventions data'!AM28</f>
        <v>35434753.284811378</v>
      </c>
      <c r="X27" s="230">
        <f>'FIM interventions data'!AN28+'FIM interventions data'!AO28+'FIM interventions data'!AP28+'FIM interventions data'!AQ28</f>
        <v>34460365.013512969</v>
      </c>
      <c r="Y27" s="229">
        <f>'FIM interventions data'!AR28+'FIM interventions data'!AS28+'FIM interventions data'!AT28+'FIM interventions data'!AU28</f>
        <v>3366807.3840370141</v>
      </c>
      <c r="Z27" s="326">
        <f>'FIM interventions data'!AV28+'FIM interventions data'!AW28+'FIM interventions data'!AX28+'FIM interventions data'!AY28</f>
        <v>141952898.44404802</v>
      </c>
    </row>
    <row r="28" spans="1:26">
      <c r="A28" s="9">
        <v>27</v>
      </c>
      <c r="B28" s="1" t="s">
        <v>444</v>
      </c>
      <c r="C28" s="1" t="s">
        <v>445</v>
      </c>
      <c r="D28" s="1">
        <v>0</v>
      </c>
      <c r="E28" s="199">
        <f>Demographics!H28*'Health conditions data'!E28*'Health conditions data'!H28</f>
        <v>833819.5670810116</v>
      </c>
      <c r="F28" s="198">
        <f>'Health insurance data'!F28*'Health insurance data'!R28*'Health insurance data'!S28</f>
        <v>207281.23908088231</v>
      </c>
      <c r="G28" s="198">
        <f>'Health insurance data'!I28*'Health insurance data'!V28*'Health insurance data'!W28</f>
        <v>191335.68575000012</v>
      </c>
      <c r="H28" s="198">
        <f>'Health insurance data'!L28*'Health insurance data'!AF28*'Health insurance data'!AG28</f>
        <v>503761.45631132141</v>
      </c>
      <c r="I28" s="198">
        <f>'Health insurance data'!O28*'Health insurance data'!AA28*'Health insurance data'!AB28</f>
        <v>17354.985576923078</v>
      </c>
      <c r="J28" s="78">
        <f>Demographics!H28*Demographics!U28*'Health conditions data'!K28*'Health conditions data'!N28</f>
        <v>202264.67039106129</v>
      </c>
      <c r="K28" s="118">
        <f>'Health insurance data'!F28*Demographics!AC28*'Health insurance data'!AK28*'Health insurance data'!AL28</f>
        <v>131253.03582119202</v>
      </c>
      <c r="L28" s="118">
        <f>'Health insurance data'!I28*Demographics!AD28*'Health insurance data'!AO28*'Health insurance data'!AP28</f>
        <v>47344.759266925015</v>
      </c>
      <c r="M28" s="118">
        <f>'Health insurance data'!L28*Demographics!AE28*'Health insurance data'!AW28*'Health insurance data'!AX28</f>
        <v>62004.727399210176</v>
      </c>
      <c r="N28" s="118">
        <f>'Health insurance data'!O28*Demographics!AF28*'Health insurance data'!AS28*'Health insurance data'!AT28</f>
        <v>2715.8659225940851</v>
      </c>
      <c r="O28" s="196">
        <f>Demographics!H28*'Health conditions data'!P28</f>
        <v>258704.98500000002</v>
      </c>
      <c r="P28" s="240">
        <f>'FIM interventions data'!E29+'FIM interventions data'!G29+'FIM interventions data'!I29+'FIM interventions data'!K29</f>
        <v>981885910.52498949</v>
      </c>
      <c r="Q28" s="240">
        <f>'FIM interventions data'!L29+'FIM interventions data'!M29+'FIM interventions data'!N29+'FIM interventions data'!O29</f>
        <v>244089412.39190912</v>
      </c>
      <c r="R28" s="240">
        <f>'FIM interventions data'!P29+'FIM interventions data'!Q29+'FIM interventions data'!R29+'FIM interventions data'!S29</f>
        <v>225312311.48274216</v>
      </c>
      <c r="S28" s="240">
        <f>'FIM interventions data'!T29+'FIM interventions data'!U29+'FIM interventions data'!V29+'FIM interventions data'!W29</f>
        <v>593217400.67726076</v>
      </c>
      <c r="T28" s="192">
        <f>'FIM interventions data'!X29+'FIM interventions data'!Y29+'FIM interventions data'!Z29+'FIM interventions data'!AA29</f>
        <v>20436814.495730773</v>
      </c>
      <c r="U28" s="240">
        <f>'FIM interventions data'!AB29+'FIM interventions data'!AC29+'FIM interventions data'!AD29+'FIM interventions data'!AE29</f>
        <v>238182021.50042439</v>
      </c>
      <c r="V28" s="230">
        <f>'FIM interventions data'!AF29+'FIM interventions data'!AG29+'FIM interventions data'!AH29+'FIM interventions data'!AI29</f>
        <v>154560424.91017604</v>
      </c>
      <c r="W28" s="230">
        <f>'FIM interventions data'!AJ29+'FIM interventions data'!AK29+'FIM interventions data'!AL29+'FIM interventions data'!AM29</f>
        <v>55752052.2385085</v>
      </c>
      <c r="X28" s="230">
        <f>'FIM interventions data'!AN29+'FIM interventions data'!AO29+'FIM interventions data'!AP29+'FIM interventions data'!AQ29</f>
        <v>73015278.871852323</v>
      </c>
      <c r="Y28" s="229">
        <f>'FIM interventions data'!AR29+'FIM interventions data'!AS29+'FIM interventions data'!AT29+'FIM interventions data'!AU29</f>
        <v>3198138.5296646529</v>
      </c>
      <c r="Z28" s="326">
        <f>'FIM interventions data'!AV29+'FIM interventions data'!AW29+'FIM interventions data'!AX29+'FIM interventions data'!AY29</f>
        <v>304644781.41636008</v>
      </c>
    </row>
    <row r="29" spans="1:26">
      <c r="A29" s="9">
        <v>28</v>
      </c>
      <c r="B29" s="1" t="s">
        <v>449</v>
      </c>
      <c r="C29" s="1" t="s">
        <v>450</v>
      </c>
      <c r="D29" s="1">
        <v>0</v>
      </c>
      <c r="E29" s="199">
        <f>Demographics!H29*'Health conditions data'!E29*'Health conditions data'!H29</f>
        <v>1623193.2838709673</v>
      </c>
      <c r="F29" s="198">
        <f>'Health insurance data'!F29*'Health insurance data'!R29*'Health insurance data'!S29</f>
        <v>365473.4012465867</v>
      </c>
      <c r="G29" s="198">
        <f>'Health insurance data'!I29*'Health insurance data'!V29*'Health insurance data'!W29</f>
        <v>202527.09986324774</v>
      </c>
      <c r="H29" s="198">
        <f>'Health insurance data'!L29*'Health insurance data'!AF29*'Health insurance data'!AG29</f>
        <v>921589.78361418832</v>
      </c>
      <c r="I29" s="198">
        <f>'Health insurance data'!O29*'Health insurance data'!AA29*'Health insurance data'!AB29</f>
        <v>15398.680843636359</v>
      </c>
      <c r="J29" s="78">
        <f>Demographics!H29*Demographics!U29*'Health conditions data'!K29*'Health conditions data'!N29</f>
        <v>471969.8333333336</v>
      </c>
      <c r="K29" s="118">
        <f>'Health insurance data'!F29*Demographics!AC29*'Health insurance data'!AK29*'Health insurance data'!AL29</f>
        <v>298571.98743838386</v>
      </c>
      <c r="L29" s="118">
        <f>'Health insurance data'!I29*Demographics!AD29*'Health insurance data'!AO29*'Health insurance data'!AP29</f>
        <v>30440.264812589503</v>
      </c>
      <c r="M29" s="118">
        <f>'Health insurance data'!L29*Demographics!AE29*'Health insurance data'!AW29*'Health insurance data'!AX29</f>
        <v>68070.776254668861</v>
      </c>
      <c r="N29" s="118">
        <f>'Health insurance data'!O29*Demographics!AF29*'Health insurance data'!AS29*'Health insurance data'!AT29</f>
        <v>4253.7103202099788</v>
      </c>
      <c r="O29" s="196">
        <f>Demographics!H29*'Health conditions data'!P29</f>
        <v>408433.375</v>
      </c>
      <c r="P29" s="240">
        <f>'FIM interventions data'!E30+'FIM interventions data'!G30+'FIM interventions data'!I30+'FIM interventions data'!K30</f>
        <v>1911433454.4476385</v>
      </c>
      <c r="Q29" s="240">
        <f>'FIM interventions data'!L30+'FIM interventions data'!M30+'FIM interventions data'!N30+'FIM interventions data'!O30</f>
        <v>430372705.94635069</v>
      </c>
      <c r="R29" s="240">
        <f>'FIM interventions data'!P30+'FIM interventions data'!Q30+'FIM interventions data'!R30+'FIM interventions data'!S30</f>
        <v>238491052.14856386</v>
      </c>
      <c r="S29" s="240">
        <f>'FIM interventions data'!T30+'FIM interventions data'!U30+'FIM interventions data'!V30+'FIM interventions data'!W30</f>
        <v>1085242011.0292614</v>
      </c>
      <c r="T29" s="192">
        <f>'FIM interventions data'!X30+'FIM interventions data'!Y30+'FIM interventions data'!Z30+'FIM interventions data'!AA30</f>
        <v>18133116.99312593</v>
      </c>
      <c r="U29" s="240">
        <f>'FIM interventions data'!AB30+'FIM interventions data'!AC30+'FIM interventions data'!AD30+'FIM interventions data'!AE30</f>
        <v>555780348.4573338</v>
      </c>
      <c r="V29" s="230">
        <f>'FIM interventions data'!AF30+'FIM interventions data'!AG30+'FIM interventions data'!AH30+'FIM interventions data'!AI30</f>
        <v>351591206.67974234</v>
      </c>
      <c r="W29" s="230">
        <f>'FIM interventions data'!AJ30+'FIM interventions data'!AK30+'FIM interventions data'!AL30+'FIM interventions data'!AM30</f>
        <v>35845725.276949897</v>
      </c>
      <c r="X29" s="230">
        <f>'FIM interventions data'!AN30+'FIM interventions data'!AO30+'FIM interventions data'!AP30+'FIM interventions data'!AQ30</f>
        <v>80158512.418867946</v>
      </c>
      <c r="Y29" s="229">
        <f>'FIM interventions data'!AR30+'FIM interventions data'!AS30+'FIM interventions data'!AT30+'FIM interventions data'!AU30</f>
        <v>5009067.1840315871</v>
      </c>
      <c r="Z29" s="326">
        <f>'FIM interventions data'!AV30+'FIM interventions data'!AW30+'FIM interventions data'!AX30+'FIM interventions data'!AY30</f>
        <v>480961339.99900007</v>
      </c>
    </row>
    <row r="30" spans="1:26">
      <c r="A30" s="9">
        <v>29</v>
      </c>
      <c r="B30" s="1" t="s">
        <v>454</v>
      </c>
      <c r="C30" s="1" t="s">
        <v>455</v>
      </c>
      <c r="D30" s="1">
        <v>0</v>
      </c>
      <c r="E30" s="199">
        <f>Demographics!H30*'Health conditions data'!E30*'Health conditions data'!H30</f>
        <v>712721.67720465956</v>
      </c>
      <c r="F30" s="198">
        <f>'Health insurance data'!F30*'Health insurance data'!R30*'Health insurance data'!S30</f>
        <v>90193.378026266102</v>
      </c>
      <c r="G30" s="198">
        <f>'Health insurance data'!I30*'Health insurance data'!V30*'Health insurance data'!W30</f>
        <v>164459.67823091979</v>
      </c>
      <c r="H30" s="198">
        <f>'Health insurance data'!L30*'Health insurance data'!AF30*'Health insurance data'!AG30</f>
        <v>364346.33080858178</v>
      </c>
      <c r="I30" s="198">
        <f>'Health insurance data'!O30*'Health insurance data'!AA30*'Health insurance data'!AB30</f>
        <v>5916.1840496894392</v>
      </c>
      <c r="J30" s="78">
        <f>Demographics!H30*Demographics!U30*'Health conditions data'!K30*'Health conditions data'!N30</f>
        <v>152814.74999999991</v>
      </c>
      <c r="K30" s="118">
        <f>'Health insurance data'!F30*Demographics!AC30*'Health insurance data'!AK30*'Health insurance data'!AL30</f>
        <v>100003.81307157451</v>
      </c>
      <c r="L30" s="118">
        <f>'Health insurance data'!I30*Demographics!AD30*'Health insurance data'!AO30*'Health insurance data'!AP30</f>
        <v>45254.39809674857</v>
      </c>
      <c r="M30" s="118">
        <f>'Health insurance data'!L30*Demographics!AE30*'Health insurance data'!AW30*'Health insurance data'!AX30</f>
        <v>39648.506686572764</v>
      </c>
      <c r="N30" s="118">
        <f>'Health insurance data'!O30*Demographics!AF30*'Health insurance data'!AS30*'Health insurance data'!AT30</f>
        <v>1330.7524444444407</v>
      </c>
      <c r="O30" s="196">
        <f>Demographics!H30*'Health conditions data'!P30</f>
        <v>104268.36800000002</v>
      </c>
      <c r="P30" s="240">
        <f>'FIM interventions data'!E31+'FIM interventions data'!G31+'FIM interventions data'!I31+'FIM interventions data'!K31</f>
        <v>839283941.75595427</v>
      </c>
      <c r="Q30" s="240">
        <f>'FIM interventions data'!L31+'FIM interventions data'!M31+'FIM interventions data'!N31+'FIM interventions data'!O31</f>
        <v>106209557.32265835</v>
      </c>
      <c r="R30" s="240">
        <f>'FIM interventions data'!P31+'FIM interventions data'!Q31+'FIM interventions data'!R31+'FIM interventions data'!S31</f>
        <v>193663770.05245361</v>
      </c>
      <c r="S30" s="240">
        <f>'FIM interventions data'!T31+'FIM interventions data'!U31+'FIM interventions data'!V31+'FIM interventions data'!W31</f>
        <v>429045494.84824651</v>
      </c>
      <c r="T30" s="192">
        <f>'FIM interventions data'!X31+'FIM interventions data'!Y31+'FIM interventions data'!Z31+'FIM interventions data'!AA31</f>
        <v>6966756.3484970927</v>
      </c>
      <c r="U30" s="240">
        <f>'FIM interventions data'!AB31+'FIM interventions data'!AC31+'FIM interventions data'!AD31+'FIM interventions data'!AE31</f>
        <v>179950982.04599991</v>
      </c>
      <c r="V30" s="230">
        <f>'FIM interventions data'!AF31+'FIM interventions data'!AG31+'FIM interventions data'!AH31+'FIM interventions data'!AI31</f>
        <v>117762090.18157244</v>
      </c>
      <c r="W30" s="230">
        <f>'FIM interventions data'!AJ31+'FIM interventions data'!AK31+'FIM interventions data'!AL31+'FIM interventions data'!AM31</f>
        <v>53290493.093176797</v>
      </c>
      <c r="X30" s="230">
        <f>'FIM interventions data'!AN31+'FIM interventions data'!AO31+'FIM interventions data'!AP31+'FIM interventions data'!AQ31</f>
        <v>46689129.909947619</v>
      </c>
      <c r="Y30" s="229">
        <f>'FIM interventions data'!AR31+'FIM interventions data'!AS31+'FIM interventions data'!AT31+'FIM interventions data'!AU31</f>
        <v>1567062.1405191068</v>
      </c>
      <c r="Z30" s="326">
        <f>'FIM interventions data'!AV31+'FIM interventions data'!AW31+'FIM interventions data'!AX31+'FIM interventions data'!AY31</f>
        <v>122783927.71596803</v>
      </c>
    </row>
    <row r="31" spans="1:26">
      <c r="A31" s="9">
        <v>30</v>
      </c>
      <c r="B31" s="1" t="s">
        <v>459</v>
      </c>
      <c r="C31" s="1" t="s">
        <v>460</v>
      </c>
      <c r="D31" s="1">
        <v>0</v>
      </c>
      <c r="E31" s="199">
        <f>Demographics!H31*'Health conditions data'!E31*'Health conditions data'!H31</f>
        <v>3225696.4609331116</v>
      </c>
      <c r="F31" s="198">
        <f>'Health insurance data'!F31*'Health insurance data'!R31*'Health insurance data'!S31</f>
        <v>1142620.9502651156</v>
      </c>
      <c r="G31" s="198">
        <f>'Health insurance data'!I31*'Health insurance data'!V31*'Health insurance data'!W31</f>
        <v>1161003.9922000004</v>
      </c>
      <c r="H31" s="198">
        <f>'Health insurance data'!L31*'Health insurance data'!AF31*'Health insurance data'!AG31</f>
        <v>2577739.5495005776</v>
      </c>
      <c r="I31" s="198">
        <f>'Health insurance data'!O31*'Health insurance data'!AA31*'Health insurance data'!AB31</f>
        <v>19951.787099999998</v>
      </c>
      <c r="J31" s="78">
        <f>Demographics!H31*Demographics!U31*'Health conditions data'!K31*'Health conditions data'!N31</f>
        <v>644409.72929292941</v>
      </c>
      <c r="K31" s="118">
        <f>'Health insurance data'!F31*Demographics!AC31*'Health insurance data'!AK31*'Health insurance data'!AL31</f>
        <v>584616.0711652094</v>
      </c>
      <c r="L31" s="118">
        <f>'Health insurance data'!I31*Demographics!AD31*'Health insurance data'!AO31*'Health insurance data'!AP31</f>
        <v>108874.28335001042</v>
      </c>
      <c r="M31" s="118">
        <f>'Health insurance data'!L31*Demographics!AE31*'Health insurance data'!AW31*'Health insurance data'!AX31</f>
        <v>188377.9417805124</v>
      </c>
      <c r="N31" s="118">
        <f>'Health insurance data'!O31*Demographics!AF31*'Health insurance data'!AS31*'Health insurance data'!AT31</f>
        <v>2452.2695629233526</v>
      </c>
      <c r="O31" s="196">
        <f>Demographics!H31*'Health conditions data'!P31</f>
        <v>931083.39800000004</v>
      </c>
      <c r="P31" s="240">
        <f>'FIM interventions data'!E32+'FIM interventions data'!G32+'FIM interventions data'!I32+'FIM interventions data'!K32</f>
        <v>3798502735.6797705</v>
      </c>
      <c r="Q31" s="240">
        <f>'FIM interventions data'!L32+'FIM interventions data'!M32+'FIM interventions data'!N32+'FIM interventions data'!O32</f>
        <v>1345523008.1293938</v>
      </c>
      <c r="R31" s="240">
        <f>'FIM interventions data'!P32+'FIM interventions data'!Q32+'FIM interventions data'!R32+'FIM interventions data'!S32</f>
        <v>1367170437.1189079</v>
      </c>
      <c r="S31" s="240">
        <f>'FIM interventions data'!T32+'FIM interventions data'!U32+'FIM interventions data'!V32+'FIM interventions data'!W32</f>
        <v>3035484227.7426929</v>
      </c>
      <c r="T31" s="192">
        <f>'FIM interventions data'!X32+'FIM interventions data'!Y32+'FIM interventions data'!Z32+'FIM interventions data'!AA32</f>
        <v>23494745.646069601</v>
      </c>
      <c r="U31" s="240">
        <f>'FIM interventions data'!AB32+'FIM interventions data'!AC32+'FIM interventions data'!AD32+'FIM interventions data'!AE32</f>
        <v>758841431.38185072</v>
      </c>
      <c r="V31" s="230">
        <f>'FIM interventions data'!AF32+'FIM interventions data'!AG32+'FIM interventions data'!AH32+'FIM interventions data'!AI32</f>
        <v>688429854.61844277</v>
      </c>
      <c r="W31" s="230">
        <f>'FIM interventions data'!AJ32+'FIM interventions data'!AK32+'FIM interventions data'!AL32+'FIM interventions data'!AM32</f>
        <v>128207743.09017189</v>
      </c>
      <c r="X31" s="230">
        <f>'FIM interventions data'!AN32+'FIM interventions data'!AO32+'FIM interventions data'!AP32+'FIM interventions data'!AQ32</f>
        <v>221829343.17012867</v>
      </c>
      <c r="Y31" s="229">
        <f>'FIM interventions data'!AR32+'FIM interventions data'!AS32+'FIM interventions data'!AT32+'FIM interventions data'!AU32</f>
        <v>2887733.7828290304</v>
      </c>
      <c r="Z31" s="326">
        <f>'FIM interventions data'!AV32+'FIM interventions data'!AW32+'FIM interventions data'!AX32+'FIM interventions data'!AY32</f>
        <v>1096421463.4832482</v>
      </c>
    </row>
    <row r="32" spans="1:26">
      <c r="A32" s="9">
        <v>31</v>
      </c>
      <c r="B32" s="1" t="s">
        <v>464</v>
      </c>
      <c r="C32" s="1" t="s">
        <v>465</v>
      </c>
      <c r="D32" s="1">
        <v>0</v>
      </c>
      <c r="E32" s="199">
        <f>Demographics!H32*'Health conditions data'!E32*'Health conditions data'!H32</f>
        <v>958031.03473491769</v>
      </c>
      <c r="F32" s="198">
        <f>'Health insurance data'!F32*'Health insurance data'!R32*'Health insurance data'!S32</f>
        <v>302214.88665081811</v>
      </c>
      <c r="G32" s="198">
        <f>'Health insurance data'!I32*'Health insurance data'!V32*'Health insurance data'!W32</f>
        <v>107986.82193533215</v>
      </c>
      <c r="H32" s="198">
        <f>'Health insurance data'!L32*'Health insurance data'!AF32*'Health insurance data'!AG32</f>
        <v>320456.80118367326</v>
      </c>
      <c r="I32" s="198">
        <f>'Health insurance data'!O32*'Health insurance data'!AA32*'Health insurance data'!AB32</f>
        <v>10778.080952380946</v>
      </c>
      <c r="J32" s="78">
        <f>Demographics!H32*Demographics!U32*'Health conditions data'!K32*'Health conditions data'!N32</f>
        <v>319884.93658536614</v>
      </c>
      <c r="K32" s="118">
        <f>'Health insurance data'!F32*Demographics!AC32*'Health insurance data'!AK32*'Health insurance data'!AL32</f>
        <v>280951.9900141434</v>
      </c>
      <c r="L32" s="118">
        <f>'Health insurance data'!I32*Demographics!AD32*'Health insurance data'!AO32*'Health insurance data'!AP32</f>
        <v>75822.97764197526</v>
      </c>
      <c r="M32" s="118">
        <f>'Health insurance data'!L32*Demographics!AE32*'Health insurance data'!AW32*'Health insurance data'!AX32</f>
        <v>35577.281910339269</v>
      </c>
      <c r="N32" s="118">
        <f>'Health insurance data'!O32*Demographics!AF32*'Health insurance data'!AS32*'Health insurance data'!AT32</f>
        <v>2637.2123930313655</v>
      </c>
      <c r="O32" s="196">
        <f>Demographics!H32*'Health conditions data'!P32</f>
        <v>274803.02400000003</v>
      </c>
      <c r="P32" s="240">
        <f>'FIM interventions data'!E33+'FIM interventions data'!G33+'FIM interventions data'!I33+'FIM interventions data'!K33</f>
        <v>1128154353.7590055</v>
      </c>
      <c r="Q32" s="240">
        <f>'FIM interventions data'!L33+'FIM interventions data'!M33+'FIM interventions data'!N33+'FIM interventions data'!O33</f>
        <v>355880997.36272377</v>
      </c>
      <c r="R32" s="240">
        <f>'FIM interventions data'!P33+'FIM interventions data'!Q33+'FIM interventions data'!R33+'FIM interventions data'!S33</f>
        <v>127162689.82732069</v>
      </c>
      <c r="S32" s="240">
        <f>'FIM interventions data'!T33+'FIM interventions data'!U33+'FIM interventions data'!V33+'FIM interventions data'!W33</f>
        <v>377362238.1106652</v>
      </c>
      <c r="T32" s="192">
        <f>'FIM interventions data'!X33+'FIM interventions data'!Y33+'FIM interventions data'!Z33+'FIM interventions data'!AA33</f>
        <v>12692009.455580946</v>
      </c>
      <c r="U32" s="240">
        <f>'FIM interventions data'!AB33+'FIM interventions data'!AC33+'FIM interventions data'!AD33+'FIM interventions data'!AE33</f>
        <v>376688824.08444917</v>
      </c>
      <c r="V32" s="230">
        <f>'FIM interventions data'!AF33+'FIM interventions data'!AG33+'FIM interventions data'!AH33+'FIM interventions data'!AI33</f>
        <v>330842320.59289497</v>
      </c>
      <c r="W32" s="230">
        <f>'FIM interventions data'!AJ33+'FIM interventions data'!AK33+'FIM interventions data'!AL33+'FIM interventions data'!AM33</f>
        <v>89287318.719726682</v>
      </c>
      <c r="X32" s="230">
        <f>'FIM interventions data'!AN33+'FIM interventions data'!AO33+'FIM interventions data'!AP33+'FIM interventions data'!AQ33</f>
        <v>41894953.322849676</v>
      </c>
      <c r="Y32" s="229">
        <f>'FIM interventions data'!AR33+'FIM interventions data'!AS33+'FIM interventions data'!AT33+'FIM interventions data'!AU33</f>
        <v>3105518.0209363033</v>
      </c>
      <c r="Z32" s="326">
        <f>'FIM interventions data'!AV33+'FIM interventions data'!AW33+'FIM interventions data'!AX33+'FIM interventions data'!AY33</f>
        <v>323601445.78982407</v>
      </c>
    </row>
    <row r="33" spans="1:26">
      <c r="A33" s="9">
        <v>32</v>
      </c>
      <c r="B33" s="1" t="s">
        <v>469</v>
      </c>
      <c r="C33" s="1" t="s">
        <v>470</v>
      </c>
      <c r="D33" s="1">
        <v>0</v>
      </c>
      <c r="E33" s="199">
        <f>Demographics!H33*'Health conditions data'!E33*'Health conditions data'!H33</f>
        <v>8292817.6213581013</v>
      </c>
      <c r="F33" s="198">
        <f>'Health insurance data'!F33*'Health insurance data'!R33*'Health insurance data'!S33</f>
        <v>2965196.6122723068</v>
      </c>
      <c r="G33" s="198">
        <f>'Health insurance data'!I33*'Health insurance data'!V33*'Health insurance data'!W33</f>
        <v>1323625.2351740897</v>
      </c>
      <c r="H33" s="198">
        <f>'Health insurance data'!L33*'Health insurance data'!AF33*'Health insurance data'!AG33</f>
        <v>4397616.5387451975</v>
      </c>
      <c r="I33" s="198">
        <f>'Health insurance data'!O33*'Health insurance data'!AA33*'Health insurance data'!AB33</f>
        <v>50571.176727272701</v>
      </c>
      <c r="J33" s="78">
        <f>Demographics!H33*Demographics!U33*'Health conditions data'!K33*'Health conditions data'!N33</f>
        <v>2297531.384828133</v>
      </c>
      <c r="K33" s="118">
        <f>'Health insurance data'!F33*Demographics!AC33*'Health insurance data'!AK33*'Health insurance data'!AL33</f>
        <v>2203841.0680195908</v>
      </c>
      <c r="L33" s="118">
        <f>'Health insurance data'!I33*Demographics!AD33*'Health insurance data'!AO33*'Health insurance data'!AP33</f>
        <v>367698.26628271962</v>
      </c>
      <c r="M33" s="118">
        <f>'Health insurance data'!L33*Demographics!AE33*'Health insurance data'!AW33*'Health insurance data'!AX33</f>
        <v>495972.07727623853</v>
      </c>
      <c r="N33" s="118">
        <f>'Health insurance data'!O33*Demographics!AF33*'Health insurance data'!AS33*'Health insurance data'!AT33</f>
        <v>7390.9623194131973</v>
      </c>
      <c r="O33" s="196">
        <f>Demographics!H33*'Health conditions data'!P33</f>
        <v>2443671.5040000002</v>
      </c>
      <c r="P33" s="240">
        <f>'FIM interventions data'!E34+'FIM interventions data'!G34+'FIM interventions data'!I34+'FIM interventions data'!K34</f>
        <v>9765423003.2883873</v>
      </c>
      <c r="Q33" s="240">
        <f>'FIM interventions data'!L34+'FIM interventions data'!M34+'FIM interventions data'!N34+'FIM interventions data'!O34</f>
        <v>3491744365.8931746</v>
      </c>
      <c r="R33" s="240">
        <f>'FIM interventions data'!P34+'FIM interventions data'!Q34+'FIM interventions data'!R34+'FIM interventions data'!S34</f>
        <v>1558669309.935364</v>
      </c>
      <c r="S33" s="240">
        <f>'FIM interventions data'!T34+'FIM interventions data'!U34+'FIM interventions data'!V34+'FIM interventions data'!W34</f>
        <v>5178527693.2294149</v>
      </c>
      <c r="T33" s="192">
        <f>'FIM interventions data'!X34+'FIM interventions data'!Y34+'FIM interventions data'!Z34+'FIM interventions data'!AA34</f>
        <v>59551404.005794883</v>
      </c>
      <c r="U33" s="240">
        <f>'FIM interventions data'!AB34+'FIM interventions data'!AC34+'FIM interventions data'!AD34+'FIM interventions data'!AE34</f>
        <v>2705517818.0203738</v>
      </c>
      <c r="V33" s="230">
        <f>'FIM interventions data'!AF34+'FIM interventions data'!AG34+'FIM interventions data'!AH34+'FIM interventions data'!AI34</f>
        <v>2595190349.5142384</v>
      </c>
      <c r="W33" s="230">
        <f>'FIM interventions data'!AJ34+'FIM interventions data'!AK34+'FIM interventions data'!AL34+'FIM interventions data'!AM34</f>
        <v>432992653.61613989</v>
      </c>
      <c r="X33" s="230">
        <f>'FIM interventions data'!AN34+'FIM interventions data'!AO34+'FIM interventions data'!AP34+'FIM interventions data'!AQ34</f>
        <v>584044814.87064397</v>
      </c>
      <c r="Y33" s="229">
        <f>'FIM interventions data'!AR34+'FIM interventions data'!AS34+'FIM interventions data'!AT34+'FIM interventions data'!AU34</f>
        <v>8703419.8442453165</v>
      </c>
      <c r="Z33" s="326">
        <f>'FIM interventions data'!AV34+'FIM interventions data'!AW34+'FIM interventions data'!AX34+'FIM interventions data'!AY34</f>
        <v>2877608914.9943051</v>
      </c>
    </row>
    <row r="34" spans="1:26">
      <c r="A34" s="9">
        <v>33</v>
      </c>
      <c r="B34" s="1" t="s">
        <v>474</v>
      </c>
      <c r="C34" s="1" t="s">
        <v>475</v>
      </c>
      <c r="D34" s="1">
        <v>1</v>
      </c>
      <c r="E34" s="199">
        <f>Demographics!H34*'Health conditions data'!E34*'Health conditions data'!H34</f>
        <v>5011227.1042471081</v>
      </c>
      <c r="F34" s="198">
        <f>'Health insurance data'!F34*'Health insurance data'!R34*'Health insurance data'!S34</f>
        <v>1317301.8131868131</v>
      </c>
      <c r="G34" s="198">
        <f>'Health insurance data'!I34*'Health insurance data'!V34*'Health insurance data'!W34</f>
        <v>1053054.2879999999</v>
      </c>
      <c r="H34" s="198">
        <f>'Health insurance data'!L34*'Health insurance data'!AF34*'Health insurance data'!AG34</f>
        <v>2700997.6279870039</v>
      </c>
      <c r="I34" s="198">
        <f>'Health insurance data'!O34*'Health insurance data'!AA34*'Health insurance data'!AB34</f>
        <v>151488.32914285702</v>
      </c>
      <c r="J34" s="78">
        <f>Demographics!H34*Demographics!U34*'Health conditions data'!K34*'Health conditions data'!N34</f>
        <v>1496246.294117647</v>
      </c>
      <c r="K34" s="118">
        <f>'Health insurance data'!F34*Demographics!AC34*'Health insurance data'!AK34*'Health insurance data'!AL34</f>
        <v>1110142.7823372085</v>
      </c>
      <c r="L34" s="118">
        <f>'Health insurance data'!I34*Demographics!AD34*'Health insurance data'!AO34*'Health insurance data'!AP34</f>
        <v>302450.65714285732</v>
      </c>
      <c r="M34" s="118">
        <f>'Health insurance data'!L34*Demographics!AE34*'Health insurance data'!AW34*'Health insurance data'!AX34</f>
        <v>393373.56173434819</v>
      </c>
      <c r="N34" s="118">
        <f>'Health insurance data'!O34*Demographics!AF34*'Health insurance data'!AS34*'Health insurance data'!AT34</f>
        <v>24379.956864954373</v>
      </c>
      <c r="O34" s="196">
        <f>Demographics!H34*'Health conditions data'!P34</f>
        <v>1204016.6159999999</v>
      </c>
      <c r="P34" s="240">
        <f>'FIM interventions data'!E35+'FIM interventions data'!G35+'FIM interventions data'!I35+'FIM interventions data'!K35</f>
        <v>5901100768.5108929</v>
      </c>
      <c r="Q34" s="240">
        <f>'FIM interventions data'!L35+'FIM interventions data'!M35+'FIM interventions data'!N35+'FIM interventions data'!O35</f>
        <v>1551222999.9652748</v>
      </c>
      <c r="R34" s="240">
        <f>'FIM interventions data'!P35+'FIM interventions data'!Q35+'FIM interventions data'!R35+'FIM interventions data'!S35</f>
        <v>1240051456.2458882</v>
      </c>
      <c r="S34" s="240">
        <f>'FIM interventions data'!T35+'FIM interventions data'!U35+'FIM interventions data'!V35+'FIM interventions data'!W35</f>
        <v>3180629982.7744246</v>
      </c>
      <c r="T34" s="192">
        <f>'FIM interventions data'!X35+'FIM interventions data'!Y35+'FIM interventions data'!Z35+'FIM interventions data'!AA35</f>
        <v>178389020.67872906</v>
      </c>
      <c r="U34" s="240">
        <f>'FIM interventions data'!AB35+'FIM interventions data'!AC35+'FIM interventions data'!AD35+'FIM interventions data'!AE35</f>
        <v>1761943726.0418825</v>
      </c>
      <c r="V34" s="230">
        <f>'FIM interventions data'!AF35+'FIM interventions data'!AG35+'FIM interventions data'!AH35+'FIM interventions data'!AI35</f>
        <v>1307277497.0535207</v>
      </c>
      <c r="W34" s="230">
        <f>'FIM interventions data'!AJ35+'FIM interventions data'!AK35+'FIM interventions data'!AL35+'FIM interventions data'!AM35</f>
        <v>356158635.03565741</v>
      </c>
      <c r="X34" s="230">
        <f>'FIM interventions data'!AN35+'FIM interventions data'!AO35+'FIM interventions data'!AP35+'FIM interventions data'!AQ35</f>
        <v>463227265.33288682</v>
      </c>
      <c r="Y34" s="229">
        <f>'FIM interventions data'!AR35+'FIM interventions data'!AS35+'FIM interventions data'!AT35+'FIM interventions data'!AU35</f>
        <v>28709252.085205514</v>
      </c>
      <c r="Z34" s="326">
        <f>'FIM interventions data'!AV35+'FIM interventions data'!AW35+'FIM interventions data'!AX35+'FIM interventions data'!AY35</f>
        <v>1417821070.6028161</v>
      </c>
    </row>
    <row r="35" spans="1:26">
      <c r="A35" s="9">
        <v>34</v>
      </c>
      <c r="B35" s="1" t="s">
        <v>479</v>
      </c>
      <c r="C35" s="1" t="s">
        <v>480</v>
      </c>
      <c r="D35" s="1">
        <v>0</v>
      </c>
      <c r="E35" s="199">
        <f>Demographics!H35*'Health conditions data'!E35*'Health conditions data'!H35</f>
        <v>391852.08447204944</v>
      </c>
      <c r="F35" s="198">
        <f>'Health insurance data'!F35*'Health insurance data'!R35*'Health insurance data'!S35</f>
        <v>46010.690486341344</v>
      </c>
      <c r="G35" s="198">
        <f>'Health insurance data'!I35*'Health insurance data'!V35*'Health insurance data'!W35</f>
        <v>49177.597141626517</v>
      </c>
      <c r="H35" s="198">
        <f>'Health insurance data'!L35*'Health insurance data'!AF35*'Health insurance data'!AG35</f>
        <v>223794.72899288291</v>
      </c>
      <c r="I35" s="198">
        <f>'Health insurance data'!O35*'Health insurance data'!AA35*'Health insurance data'!AB35</f>
        <v>12332.57957142857</v>
      </c>
      <c r="J35" s="78">
        <f>Demographics!H35*Demographics!U35*'Health conditions data'!K35*'Health conditions data'!N35</f>
        <v>103159.95238095235</v>
      </c>
      <c r="K35" s="118">
        <f>'Health insurance data'!F35*Demographics!AC35*'Health insurance data'!AK35*'Health insurance data'!AL35</f>
        <v>50807.53724745768</v>
      </c>
      <c r="L35" s="118">
        <f>'Health insurance data'!I35*Demographics!AD35*'Health insurance data'!AO35*'Health insurance data'!AP35</f>
        <v>17097.069268292646</v>
      </c>
      <c r="M35" s="118">
        <f>'Health insurance data'!L35*Demographics!AE35*'Health insurance data'!AW35*'Health insurance data'!AX35</f>
        <v>28153.593252085979</v>
      </c>
      <c r="N35" s="118">
        <f>'Health insurance data'!O35*Demographics!AF35*'Health insurance data'!AS35*'Health insurance data'!AT35</f>
        <v>1595.9690812092483</v>
      </c>
      <c r="O35" s="196">
        <f>Demographics!H35*'Health conditions data'!P35</f>
        <v>68504.847999999998</v>
      </c>
      <c r="P35" s="240">
        <f>'FIM interventions data'!E36+'FIM interventions data'!G36+'FIM interventions data'!I36+'FIM interventions data'!K36</f>
        <v>461435610.22425818</v>
      </c>
      <c r="Q35" s="240">
        <f>'FIM interventions data'!L36+'FIM interventions data'!M36+'FIM interventions data'!N36+'FIM interventions data'!O36</f>
        <v>54181084.8601439</v>
      </c>
      <c r="R35" s="240">
        <f>'FIM interventions data'!P36+'FIM interventions data'!Q36+'FIM interventions data'!R36+'FIM interventions data'!S36</f>
        <v>57910358.131648004</v>
      </c>
      <c r="S35" s="240">
        <f>'FIM interventions data'!T36+'FIM interventions data'!U36+'FIM interventions data'!V36+'FIM interventions data'!W36</f>
        <v>263535301.78852311</v>
      </c>
      <c r="T35" s="192">
        <f>'FIM interventions data'!X36+'FIM interventions data'!Y36+'FIM interventions data'!Z36+'FIM interventions data'!AA36</f>
        <v>14522549.721404573</v>
      </c>
      <c r="U35" s="240">
        <f>'FIM interventions data'!AB36+'FIM interventions data'!AC36+'FIM interventions data'!AD36+'FIM interventions data'!AE36</f>
        <v>121478684.08495235</v>
      </c>
      <c r="V35" s="230">
        <f>'FIM interventions data'!AF36+'FIM interventions data'!AG36+'FIM interventions data'!AH36+'FIM interventions data'!AI36</f>
        <v>59829736.48171223</v>
      </c>
      <c r="W35" s="230">
        <f>'FIM interventions data'!AJ36+'FIM interventions data'!AK36+'FIM interventions data'!AL36+'FIM interventions data'!AM36</f>
        <v>20133098.440678984</v>
      </c>
      <c r="X35" s="230">
        <f>'FIM interventions data'!AN36+'FIM interventions data'!AO36+'FIM interventions data'!AP36+'FIM interventions data'!AQ36</f>
        <v>33152995.7274184</v>
      </c>
      <c r="Y35" s="229">
        <f>'FIM interventions data'!AR36+'FIM interventions data'!AS36+'FIM interventions data'!AT36+'FIM interventions data'!AU36</f>
        <v>1879374.8867740619</v>
      </c>
      <c r="Z35" s="326">
        <f>'FIM interventions data'!AV36+'FIM interventions data'!AW36+'FIM interventions data'!AX36+'FIM interventions data'!AY36</f>
        <v>80669664.888448</v>
      </c>
    </row>
    <row r="36" spans="1:26">
      <c r="A36" s="9">
        <v>35</v>
      </c>
      <c r="B36" s="1" t="s">
        <v>484</v>
      </c>
      <c r="C36" s="1" t="s">
        <v>485</v>
      </c>
      <c r="D36" s="1">
        <v>0</v>
      </c>
      <c r="E36" s="199">
        <f>Demographics!H36*'Health conditions data'!E36*'Health conditions data'!H36</f>
        <v>6591397.8708827412</v>
      </c>
      <c r="F36" s="198">
        <f>'Health insurance data'!F36*'Health insurance data'!R36*'Health insurance data'!S36</f>
        <v>1821276.1153764746</v>
      </c>
      <c r="G36" s="198">
        <f>'Health insurance data'!I36*'Health insurance data'!V36*'Health insurance data'!W36</f>
        <v>1269889.8179275857</v>
      </c>
      <c r="H36" s="198">
        <f>'Health insurance data'!L36*'Health insurance data'!AF36*'Health insurance data'!AG36</f>
        <v>3607694.6497805165</v>
      </c>
      <c r="I36" s="198">
        <f>'Health insurance data'!O36*'Health insurance data'!AA36*'Health insurance data'!AB36</f>
        <v>42779.894400000005</v>
      </c>
      <c r="J36" s="78">
        <f>Demographics!H36*Demographics!U36*'Health conditions data'!K36*'Health conditions data'!N36</f>
        <v>2025228.8976377945</v>
      </c>
      <c r="K36" s="118">
        <f>'Health insurance data'!F36*Demographics!AC36*'Health insurance data'!AK36*'Health insurance data'!AL36</f>
        <v>1453684.6683183515</v>
      </c>
      <c r="L36" s="118">
        <f>'Health insurance data'!I36*Demographics!AD36*'Health insurance data'!AO36*'Health insurance data'!AP36</f>
        <v>491641.73624079837</v>
      </c>
      <c r="M36" s="118">
        <f>'Health insurance data'!L36*Demographics!AE36*'Health insurance data'!AW36*'Health insurance data'!AX36</f>
        <v>425758.68977700511</v>
      </c>
      <c r="N36" s="118">
        <f>'Health insurance data'!O36*Demographics!AF36*'Health insurance data'!AS36*'Health insurance data'!AT36</f>
        <v>15895.233113638595</v>
      </c>
      <c r="O36" s="196">
        <f>Demographics!H36*'Health conditions data'!P36</f>
        <v>1521062.912</v>
      </c>
      <c r="P36" s="240">
        <f>'FIM interventions data'!E37+'FIM interventions data'!G37+'FIM interventions data'!I37+'FIM interventions data'!K37</f>
        <v>7761871939.2026157</v>
      </c>
      <c r="Q36" s="240">
        <f>'FIM interventions data'!L37+'FIM interventions data'!M37+'FIM interventions data'!N37+'FIM interventions data'!O37</f>
        <v>2144691042.8405676</v>
      </c>
      <c r="R36" s="240">
        <f>'FIM interventions data'!P37+'FIM interventions data'!Q37+'FIM interventions data'!R37+'FIM interventions data'!S37</f>
        <v>1495391772.2358952</v>
      </c>
      <c r="S36" s="240">
        <f>'FIM interventions data'!T37+'FIM interventions data'!U37+'FIM interventions data'!V37+'FIM interventions data'!W37</f>
        <v>4248334634.9099422</v>
      </c>
      <c r="T36" s="192">
        <f>'FIM interventions data'!X37+'FIM interventions data'!Y37+'FIM interventions data'!Z37+'FIM interventions data'!AA37</f>
        <v>50376576.927974403</v>
      </c>
      <c r="U36" s="240">
        <f>'FIM interventions data'!AB37+'FIM interventions data'!AC37+'FIM interventions data'!AD37+'FIM interventions data'!AE37</f>
        <v>2384860944.3647237</v>
      </c>
      <c r="V36" s="230">
        <f>'FIM interventions data'!AF37+'FIM interventions data'!AG37+'FIM interventions data'!AH37+'FIM interventions data'!AI37</f>
        <v>1711824176.9796512</v>
      </c>
      <c r="W36" s="230">
        <f>'FIM interventions data'!AJ37+'FIM interventions data'!AK37+'FIM interventions data'!AL37+'FIM interventions data'!AM37</f>
        <v>578945509.19549453</v>
      </c>
      <c r="X36" s="230">
        <f>'FIM interventions data'!AN37+'FIM interventions data'!AO37+'FIM interventions data'!AP37+'FIM interventions data'!AQ37</f>
        <v>501363214.8728466</v>
      </c>
      <c r="Y36" s="229">
        <f>'FIM interventions data'!AR37+'FIM interventions data'!AS37+'FIM interventions data'!AT37+'FIM interventions data'!AU37</f>
        <v>18717845.029026084</v>
      </c>
      <c r="Z36" s="326">
        <f>'FIM interventions data'!AV37+'FIM interventions data'!AW37+'FIM interventions data'!AX37+'FIM interventions data'!AY37</f>
        <v>1791167179.6613121</v>
      </c>
    </row>
    <row r="37" spans="1:26">
      <c r="A37" s="9">
        <v>36</v>
      </c>
      <c r="B37" s="1" t="s">
        <v>141</v>
      </c>
      <c r="C37" s="1" t="s">
        <v>489</v>
      </c>
      <c r="D37" s="1">
        <v>1</v>
      </c>
      <c r="E37" s="199">
        <f>Demographics!H37*'Health conditions data'!E37*'Health conditions data'!H37</f>
        <v>2211190.5922774854</v>
      </c>
      <c r="F37" s="198">
        <f>'Health insurance data'!F37*'Health insurance data'!R37*'Health insurance data'!S37</f>
        <v>579821.84764063975</v>
      </c>
      <c r="G37" s="198">
        <f>'Health insurance data'!I37*'Health insurance data'!V37*'Health insurance data'!W37</f>
        <v>427191.85603448312</v>
      </c>
      <c r="H37" s="198">
        <f>'Health insurance data'!L37*'Health insurance data'!AF37*'Health insurance data'!AG37</f>
        <v>1137199.317515075</v>
      </c>
      <c r="I37" s="198">
        <f>'Health insurance data'!O37*'Health insurance data'!AA37*'Health insurance data'!AB37</f>
        <v>38906.233500000002</v>
      </c>
      <c r="J37" s="78">
        <f>Demographics!H37*Demographics!U37*'Health conditions data'!K37*'Health conditions data'!N37</f>
        <v>737102.28290766152</v>
      </c>
      <c r="K37" s="118">
        <f>'Health insurance data'!F37*Demographics!AC37*'Health insurance data'!AK37*'Health insurance data'!AL37</f>
        <v>473029.28074264439</v>
      </c>
      <c r="L37" s="118">
        <f>'Health insurance data'!I37*Demographics!AD37*'Health insurance data'!AO37*'Health insurance data'!AP37</f>
        <v>134740.95913980898</v>
      </c>
      <c r="M37" s="118">
        <f>'Health insurance data'!L37*Demographics!AE37*'Health insurance data'!AW37*'Health insurance data'!AX37</f>
        <v>164629.21883236716</v>
      </c>
      <c r="N37" s="118">
        <f>'Health insurance data'!O37*Demographics!AF37*'Health insurance data'!AS37*'Health insurance data'!AT37</f>
        <v>9427.2716596563569</v>
      </c>
      <c r="O37" s="196">
        <f>Demographics!H37*'Health conditions data'!P37</f>
        <v>630690.522</v>
      </c>
      <c r="P37" s="240">
        <f>'FIM interventions data'!E38+'FIM interventions data'!G38+'FIM interventions data'!I38+'FIM interventions data'!K38</f>
        <v>2603844972.8917527</v>
      </c>
      <c r="Q37" s="240">
        <f>'FIM interventions data'!L38+'FIM interventions data'!M38+'FIM interventions data'!N38+'FIM interventions data'!O38</f>
        <v>682784292.0572741</v>
      </c>
      <c r="R37" s="240">
        <f>'FIM interventions data'!P38+'FIM interventions data'!Q38+'FIM interventions data'!R38+'FIM interventions data'!S38</f>
        <v>503050877.06166255</v>
      </c>
      <c r="S37" s="240">
        <f>'FIM interventions data'!T38+'FIM interventions data'!U38+'FIM interventions data'!V38+'FIM interventions data'!W38</f>
        <v>1339138623.5221324</v>
      </c>
      <c r="T37" s="192">
        <f>'FIM interventions data'!X38+'FIM interventions data'!Y38+'FIM interventions data'!Z38+'FIM interventions data'!AA38</f>
        <v>45815046.819996007</v>
      </c>
      <c r="U37" s="240">
        <f>'FIM interventions data'!AB38+'FIM interventions data'!AC38+'FIM interventions data'!AD38+'FIM interventions data'!AE38</f>
        <v>867993957.89727259</v>
      </c>
      <c r="V37" s="230">
        <f>'FIM interventions data'!AF38+'FIM interventions data'!AG38+'FIM interventions data'!AH38+'FIM interventions data'!AI38</f>
        <v>557027928.29980028</v>
      </c>
      <c r="W37" s="230">
        <f>'FIM interventions data'!AJ38+'FIM interventions data'!AK38+'FIM interventions data'!AL38+'FIM interventions data'!AM38</f>
        <v>158667719.70001972</v>
      </c>
      <c r="X37" s="230">
        <f>'FIM interventions data'!AN38+'FIM interventions data'!AO38+'FIM interventions data'!AP38+'FIM interventions data'!AQ38</f>
        <v>193863416.9957436</v>
      </c>
      <c r="Y37" s="229">
        <f>'FIM interventions data'!AR38+'FIM interventions data'!AS38+'FIM interventions data'!AT38+'FIM interventions data'!AU38</f>
        <v>11101328.851891495</v>
      </c>
      <c r="Z37" s="326">
        <f>'FIM interventions data'!AV38+'FIM interventions data'!AW38+'FIM interventions data'!AX38+'FIM interventions data'!AY38</f>
        <v>742686022.13467205</v>
      </c>
    </row>
    <row r="38" spans="1:26">
      <c r="A38" s="9">
        <v>37</v>
      </c>
      <c r="B38" s="1" t="s">
        <v>493</v>
      </c>
      <c r="C38" s="1" t="s">
        <v>494</v>
      </c>
      <c r="D38" s="1">
        <v>0</v>
      </c>
      <c r="E38" s="199">
        <f>Demographics!H38*'Health conditions data'!E38*'Health conditions data'!H38</f>
        <v>2371543.1959629953</v>
      </c>
      <c r="F38" s="198">
        <f>'Health insurance data'!F38*'Health insurance data'!R38*'Health insurance data'!S38</f>
        <v>595248.91208866891</v>
      </c>
      <c r="G38" s="198">
        <f>'Health insurance data'!I38*'Health insurance data'!V38*'Health insurance data'!W38</f>
        <v>392724.86520843982</v>
      </c>
      <c r="H38" s="198">
        <f>'Health insurance data'!L38*'Health insurance data'!AF38*'Health insurance data'!AG38</f>
        <v>1357302.7350658181</v>
      </c>
      <c r="I38" s="198">
        <f>'Health insurance data'!O38*'Health insurance data'!AA38*'Health insurance data'!AB38</f>
        <v>21033.211076923064</v>
      </c>
      <c r="J38" s="78">
        <f>Demographics!H38*Demographics!U38*'Health conditions data'!K38*'Health conditions data'!N38</f>
        <v>618513.19310344802</v>
      </c>
      <c r="K38" s="118">
        <f>'Health insurance data'!F38*Demographics!AC38*'Health insurance data'!AK38*'Health insurance data'!AL38</f>
        <v>505793.92164091702</v>
      </c>
      <c r="L38" s="118">
        <f>'Health insurance data'!I38*Demographics!AD38*'Health insurance data'!AO38*'Health insurance data'!AP38</f>
        <v>138278.4915727023</v>
      </c>
      <c r="M38" s="118">
        <f>'Health insurance data'!L38*Demographics!AE38*'Health insurance data'!AW38*'Health insurance data'!AX38</f>
        <v>135287.46847257696</v>
      </c>
      <c r="N38" s="118">
        <f>'Health insurance data'!O38*Demographics!AF38*'Health insurance data'!AS38*'Health insurance data'!AT38</f>
        <v>6992.0700778052869</v>
      </c>
      <c r="O38" s="196">
        <f>Demographics!H38*'Health conditions data'!P38</f>
        <v>546863.48800000001</v>
      </c>
      <c r="P38" s="240">
        <f>'FIM interventions data'!E39+'FIM interventions data'!G39+'FIM interventions data'!I39+'FIM interventions data'!K39</f>
        <v>2792672350.5293207</v>
      </c>
      <c r="Q38" s="240">
        <f>'FIM interventions data'!L39+'FIM interventions data'!M39+'FIM interventions data'!N39+'FIM interventions data'!O39</f>
        <v>700950832.90172648</v>
      </c>
      <c r="R38" s="240">
        <f>'FIM interventions data'!P39+'FIM interventions data'!Q39+'FIM interventions data'!R39+'FIM interventions data'!S39</f>
        <v>462463375.87269378</v>
      </c>
      <c r="S38" s="240">
        <f>'FIM interventions data'!T39+'FIM interventions data'!U39+'FIM interventions data'!V39+'FIM interventions data'!W39</f>
        <v>1598327125.5478661</v>
      </c>
      <c r="T38" s="192">
        <f>'FIM interventions data'!X39+'FIM interventions data'!Y39+'FIM interventions data'!Z39+'FIM interventions data'!AA39</f>
        <v>24768204.567118756</v>
      </c>
      <c r="U38" s="240">
        <f>'FIM interventions data'!AB39+'FIM interventions data'!AC39+'FIM interventions data'!AD39+'FIM interventions data'!AE39</f>
        <v>728346291.8819859</v>
      </c>
      <c r="V38" s="230">
        <f>'FIM interventions data'!AF39+'FIM interventions data'!AG39+'FIM interventions data'!AH39+'FIM interventions data'!AI39</f>
        <v>595610783.07022452</v>
      </c>
      <c r="W38" s="230">
        <f>'FIM interventions data'!AJ39+'FIM interventions data'!AK39+'FIM interventions data'!AL39+'FIM interventions data'!AM39</f>
        <v>162833432.99221653</v>
      </c>
      <c r="X38" s="230">
        <f>'FIM interventions data'!AN39+'FIM interventions data'!AO39+'FIM interventions data'!AP39+'FIM interventions data'!AQ39</f>
        <v>159311275.97406331</v>
      </c>
      <c r="Y38" s="229">
        <f>'FIM interventions data'!AR39+'FIM interventions data'!AS39+'FIM interventions data'!AT39+'FIM interventions data'!AU39</f>
        <v>8233693.9139416385</v>
      </c>
      <c r="Z38" s="326">
        <f>'FIM interventions data'!AV39+'FIM interventions data'!AW39+'FIM interventions data'!AX39+'FIM interventions data'!AY39</f>
        <v>643973318.7450881</v>
      </c>
    </row>
    <row r="39" spans="1:26">
      <c r="A39" s="9">
        <v>38</v>
      </c>
      <c r="B39" s="1" t="s">
        <v>498</v>
      </c>
      <c r="C39" s="1" t="s">
        <v>499</v>
      </c>
      <c r="D39" s="1">
        <v>0</v>
      </c>
      <c r="E39" s="259">
        <f>Demographics!H39*'Health conditions data'!E39*'Health conditions data'!H39</f>
        <v>5459220.9629715644</v>
      </c>
      <c r="F39" s="351">
        <f>'Health insurance data'!F39*'Health insurance data'!R39*'Health insurance data'!S39</f>
        <v>1450451.9269677245</v>
      </c>
      <c r="G39" s="351">
        <f>'Health insurance data'!I39*'Health insurance data'!V39*'Health insurance data'!W39</f>
        <v>1089189.9112145756</v>
      </c>
      <c r="H39" s="351">
        <f>'Health insurance data'!L39*'Health insurance data'!AF39*'Health insurance data'!AG39</f>
        <v>3117331.1923236218</v>
      </c>
      <c r="I39" s="351">
        <f>'Health insurance data'!O39*'Health insurance data'!AA39*'Health insurance data'!AB39</f>
        <v>49937.04927272725</v>
      </c>
      <c r="J39" s="78">
        <f>Demographics!H39*Demographics!U39*'Health conditions data'!K39*'Health conditions data'!N39</f>
        <v>1361089.2374555522</v>
      </c>
      <c r="K39" s="339">
        <f>'Health insurance data'!F39*Demographics!AC39*'Health insurance data'!AK39*'Health insurance data'!AL39</f>
        <v>1078028.1855880078</v>
      </c>
      <c r="L39" s="339">
        <f>'Health insurance data'!I39*Demographics!AD39*'Health insurance data'!AO39*'Health insurance data'!AP39</f>
        <v>302572.98770339164</v>
      </c>
      <c r="M39" s="339">
        <f>'Health insurance data'!L39*Demographics!AE39*'Health insurance data'!AW39*'Health insurance data'!AX39</f>
        <v>351578.90948261757</v>
      </c>
      <c r="N39" s="339">
        <f>'Health insurance data'!O39*Demographics!AF39*'Health insurance data'!AS39*'Health insurance data'!AT39</f>
        <v>7298.2847820182005</v>
      </c>
      <c r="O39" s="250">
        <f>Demographics!H39*'Health conditions data'!P39</f>
        <v>1412505.1080000002</v>
      </c>
      <c r="P39" s="230">
        <f>'FIM interventions data'!E40+'FIM interventions data'!G40+'FIM interventions data'!I40+'FIM interventions data'!K40</f>
        <v>6428647584.6922035</v>
      </c>
      <c r="Q39" s="347">
        <f>'FIM interventions data'!L40+'FIM interventions data'!M40+'FIM interventions data'!N40+'FIM interventions data'!O40</f>
        <v>1708017378.3509455</v>
      </c>
      <c r="R39" s="347">
        <f>'FIM interventions data'!P40+'FIM interventions data'!Q40+'FIM interventions data'!R40+'FIM interventions data'!S40</f>
        <v>1282603898.8884153</v>
      </c>
      <c r="S39" s="347">
        <f>'FIM interventions data'!T40+'FIM interventions data'!U40+'FIM interventions data'!V40+'FIM interventions data'!W40</f>
        <v>3670894396.1316814</v>
      </c>
      <c r="T39" s="348">
        <f>'FIM interventions data'!X40+'FIM interventions data'!Y40+'FIM interventions data'!Z40+'FIM interventions data'!AA40</f>
        <v>58804670.734381072</v>
      </c>
      <c r="U39" s="347">
        <f>'FIM interventions data'!AB40+'FIM interventions data'!AC40+'FIM interventions data'!AD40+'FIM interventions data'!AE40</f>
        <v>1602786019.8859596</v>
      </c>
      <c r="V39" s="349">
        <f>'FIM interventions data'!AF40+'FIM interventions data'!AG40+'FIM interventions data'!AH40+'FIM interventions data'!AI40</f>
        <v>1269460118.671984</v>
      </c>
      <c r="W39" s="349">
        <f>'FIM interventions data'!AJ40+'FIM interventions data'!AK40+'FIM interventions data'!AL40+'FIM interventions data'!AM40</f>
        <v>356302688.56780916</v>
      </c>
      <c r="X39" s="349">
        <f>'FIM interventions data'!AN40+'FIM interventions data'!AO40+'FIM interventions data'!AP40+'FIM interventions data'!AQ40</f>
        <v>414010885.91290295</v>
      </c>
      <c r="Y39" s="350">
        <f>'FIM interventions data'!AR40+'FIM interventions data'!AS40+'FIM interventions data'!AT40+'FIM interventions data'!AU40</f>
        <v>8594285.0004698653</v>
      </c>
      <c r="Z39" s="326">
        <f>'FIM interventions data'!AV40+'FIM interventions data'!AW40+'FIM interventions data'!AX40+'FIM interventions data'!AY40</f>
        <v>1663332115.0582085</v>
      </c>
    </row>
    <row r="40" spans="1:26">
      <c r="A40" s="9">
        <v>39</v>
      </c>
      <c r="B40" s="1" t="s">
        <v>503</v>
      </c>
      <c r="C40" s="1" t="s">
        <v>504</v>
      </c>
      <c r="D40" s="1">
        <v>0</v>
      </c>
      <c r="E40" s="199">
        <f>Demographics!H40*'Health conditions data'!E40*'Health conditions data'!H40</f>
        <v>546042.10909090913</v>
      </c>
      <c r="F40" s="198">
        <f>'Health insurance data'!F40*'Health insurance data'!R40*'Health insurance data'!S40</f>
        <v>118945.32256887315</v>
      </c>
      <c r="G40" s="198">
        <f>'Health insurance data'!I40*'Health insurance data'!V40*'Health insurance data'!W40</f>
        <v>92544.02559999995</v>
      </c>
      <c r="H40" s="198">
        <f>'Health insurance data'!L40*'Health insurance data'!AF40*'Health insurance data'!AG40</f>
        <v>349926.30845299305</v>
      </c>
      <c r="I40" s="198">
        <f>'Health insurance data'!O40*'Health insurance data'!AA40*'Health insurance data'!AB40</f>
        <v>1675.0049882352953</v>
      </c>
      <c r="J40" s="78">
        <f>Demographics!H40*Demographics!U40*'Health conditions data'!K40*'Health conditions data'!N40</f>
        <v>120822.96311475408</v>
      </c>
      <c r="K40" s="118">
        <f>'Health insurance data'!F40*Demographics!AC40*'Health insurance data'!AK40*'Health insurance data'!AL40</f>
        <v>96824.016478468882</v>
      </c>
      <c r="L40" s="118">
        <f>'Health insurance data'!I40*Demographics!AD40*'Health insurance data'!AO40*'Health insurance data'!AP40</f>
        <v>20118.895287821968</v>
      </c>
      <c r="M40" s="118">
        <f>'Health insurance data'!L40*Demographics!AE40*'Health insurance data'!AW40*'Health insurance data'!AX40</f>
        <v>30846.128758741277</v>
      </c>
      <c r="N40" s="118">
        <f>'Health insurance data'!O40*Demographics!AF40*'Health insurance data'!AS40*'Health insurance data'!AT40</f>
        <v>741.96898070506313</v>
      </c>
      <c r="O40" s="196">
        <f>Demographics!H40*'Health conditions data'!P40</f>
        <v>107893.87599999999</v>
      </c>
      <c r="P40" s="240">
        <f>'FIM interventions data'!E41+'FIM interventions data'!G41+'FIM interventions data'!I41+'FIM interventions data'!K41</f>
        <v>643006082.65483654</v>
      </c>
      <c r="Q40" s="240">
        <f>'FIM interventions data'!L41+'FIM interventions data'!M41+'FIM interventions data'!N41+'FIM interventions data'!O41</f>
        <v>140067157.16936338</v>
      </c>
      <c r="R40" s="240">
        <f>'FIM interventions data'!P41+'FIM interventions data'!Q41+'FIM interventions data'!R41+'FIM interventions data'!S41</f>
        <v>108977623.48994556</v>
      </c>
      <c r="S40" s="240">
        <f>'FIM interventions data'!T41+'FIM interventions data'!U41+'FIM interventions data'!V41+'FIM interventions data'!W41</f>
        <v>412064822.60284179</v>
      </c>
      <c r="T40" s="192">
        <f>'FIM interventions data'!X41+'FIM interventions data'!Y41+'FIM interventions data'!Z41+'FIM interventions data'!AA41</f>
        <v>1972445.6740261666</v>
      </c>
      <c r="U40" s="240">
        <f>'FIM interventions data'!AB41+'FIM interventions data'!AC41+'FIM interventions data'!AD41+'FIM interventions data'!AE41</f>
        <v>142278221.61281967</v>
      </c>
      <c r="V40" s="230">
        <f>'FIM interventions data'!AF41+'FIM interventions data'!AG41+'FIM interventions data'!AH41+'FIM interventions data'!AI41</f>
        <v>114017638.02864948</v>
      </c>
      <c r="W40" s="230">
        <f>'FIM interventions data'!AJ41+'FIM interventions data'!AK41+'FIM interventions data'!AL41+'FIM interventions data'!AM41</f>
        <v>23691528.237452239</v>
      </c>
      <c r="X40" s="230">
        <f>'FIM interventions data'!AN41+'FIM interventions data'!AO41+'FIM interventions data'!AP41+'FIM interventions data'!AQ41</f>
        <v>36323660.919203527</v>
      </c>
      <c r="Y40" s="229">
        <f>'FIM interventions data'!AR41+'FIM interventions data'!AS41+'FIM interventions data'!AT41+'FIM interventions data'!AU41</f>
        <v>873724.86442274554</v>
      </c>
      <c r="Z40" s="326">
        <f>'FIM interventions data'!AV41+'FIM interventions data'!AW41+'FIM interventions data'!AX41+'FIM interventions data'!AY41</f>
        <v>127053238.92457603</v>
      </c>
    </row>
    <row r="41" spans="1:26">
      <c r="A41" s="9">
        <v>40</v>
      </c>
      <c r="B41" s="1" t="s">
        <v>508</v>
      </c>
      <c r="C41" s="1" t="s">
        <v>509</v>
      </c>
      <c r="D41" s="1">
        <v>0</v>
      </c>
      <c r="E41" s="199">
        <f>Demographics!H41*'Health conditions data'!E41*'Health conditions data'!H41</f>
        <v>2561226.2144388873</v>
      </c>
      <c r="F41" s="198">
        <f>'Health insurance data'!F41*'Health insurance data'!R41*'Health insurance data'!S41</f>
        <v>593513.17387886718</v>
      </c>
      <c r="G41" s="198">
        <f>'Health insurance data'!I41*'Health insurance data'!V41*'Health insurance data'!W41</f>
        <v>565415.35920000018</v>
      </c>
      <c r="H41" s="198">
        <f>'Health insurance data'!L41*'Health insurance data'!AF41*'Health insurance data'!AG41</f>
        <v>1437667.9779935954</v>
      </c>
      <c r="I41" s="198">
        <f>'Health insurance data'!O41*'Health insurance data'!AA41*'Health insurance data'!AB41</f>
        <v>64594.088393530976</v>
      </c>
      <c r="J41" s="78">
        <f>Demographics!H41*Demographics!U41*'Health conditions data'!K41*'Health conditions data'!N41</f>
        <v>746104.11899313529</v>
      </c>
      <c r="K41" s="118">
        <f>'Health insurance data'!F41*Demographics!AC41*'Health insurance data'!AK41*'Health insurance data'!AL41</f>
        <v>498892.67836804892</v>
      </c>
      <c r="L41" s="118">
        <f>'Health insurance data'!I41*Demographics!AD41*'Health insurance data'!AO41*'Health insurance data'!AP41</f>
        <v>175384.46662708887</v>
      </c>
      <c r="M41" s="118">
        <f>'Health insurance data'!L41*Demographics!AE41*'Health insurance data'!AW41*'Health insurance data'!AX41</f>
        <v>221902.61213468795</v>
      </c>
      <c r="N41" s="118">
        <f>'Health insurance data'!O41*Demographics!AF41*'Health insurance data'!AS41*'Health insurance data'!AT41</f>
        <v>11555.230947027903</v>
      </c>
      <c r="O41" s="196">
        <f>Demographics!H41*'Health conditions data'!P41</f>
        <v>788951.66400000011</v>
      </c>
      <c r="P41" s="240">
        <f>'FIM interventions data'!E42+'FIM interventions data'!G42+'FIM interventions data'!I42+'FIM interventions data'!K42</f>
        <v>3016038520.694088</v>
      </c>
      <c r="Q41" s="240">
        <f>'FIM interventions data'!L42+'FIM interventions data'!M42+'FIM interventions data'!N42+'FIM interventions data'!O42</f>
        <v>698906869.24358094</v>
      </c>
      <c r="R41" s="240">
        <f>'FIM interventions data'!P42+'FIM interventions data'!Q42+'FIM interventions data'!R42+'FIM interventions data'!S42</f>
        <v>665819557.02529955</v>
      </c>
      <c r="S41" s="240">
        <f>'FIM interventions data'!T42+'FIM interventions data'!U42+'FIM interventions data'!V42+'FIM interventions data'!W42</f>
        <v>1692963306.8537862</v>
      </c>
      <c r="T41" s="192">
        <f>'FIM interventions data'!X42+'FIM interventions data'!Y42+'FIM interventions data'!Z42+'FIM interventions data'!AA42</f>
        <v>76064448.23410064</v>
      </c>
      <c r="U41" s="240">
        <f>'FIM interventions data'!AB42+'FIM interventions data'!AC42+'FIM interventions data'!AD42+'FIM interventions data'!AE42</f>
        <v>878594304.02746034</v>
      </c>
      <c r="V41" s="230">
        <f>'FIM interventions data'!AF42+'FIM interventions data'!AG42+'FIM interventions data'!AH42+'FIM interventions data'!AI42</f>
        <v>587484044.6219337</v>
      </c>
      <c r="W41" s="230">
        <f>'FIM interventions data'!AJ42+'FIM interventions data'!AK42+'FIM interventions data'!AL42+'FIM interventions data'!AM42</f>
        <v>206528538.67286083</v>
      </c>
      <c r="X41" s="230">
        <f>'FIM interventions data'!AN42+'FIM interventions data'!AO42+'FIM interventions data'!AP42+'FIM interventions data'!AQ42</f>
        <v>261307190.38711733</v>
      </c>
      <c r="Y41" s="229">
        <f>'FIM interventions data'!AR42+'FIM interventions data'!AS42+'FIM interventions data'!AT42+'FIM interventions data'!AU42</f>
        <v>13607162.637677332</v>
      </c>
      <c r="Z41" s="326">
        <f>'FIM interventions data'!AV42+'FIM interventions data'!AW42+'FIM interventions data'!AX42+'FIM interventions data'!AY42</f>
        <v>929050544.68646431</v>
      </c>
    </row>
    <row r="42" spans="1:26">
      <c r="A42" s="9">
        <v>41</v>
      </c>
      <c r="B42" s="1" t="s">
        <v>513</v>
      </c>
      <c r="C42" s="1" t="s">
        <v>514</v>
      </c>
      <c r="D42" s="1">
        <v>0</v>
      </c>
      <c r="E42" s="199">
        <f>Demographics!H42*'Health conditions data'!E42*'Health conditions data'!H42</f>
        <v>425689.09446254082</v>
      </c>
      <c r="F42" s="198">
        <f>'Health insurance data'!F42*'Health insurance data'!R42*'Health insurance data'!S42</f>
        <v>73626.769125000035</v>
      </c>
      <c r="G42" s="198">
        <f>'Health insurance data'!I42*'Health insurance data'!V42*'Health insurance data'!W42</f>
        <v>103193.0604</v>
      </c>
      <c r="H42" s="198">
        <f>'Health insurance data'!L42*'Health insurance data'!AF42*'Health insurance data'!AG42</f>
        <v>257591.58387910205</v>
      </c>
      <c r="I42" s="198">
        <f>'Health insurance data'!O42*'Health insurance data'!AA42*'Health insurance data'!AB42</f>
        <v>11126.850300000004</v>
      </c>
      <c r="J42" s="78">
        <f>Demographics!H42*Demographics!U42*'Health conditions data'!K42*'Health conditions data'!N42</f>
        <v>106539.99999999999</v>
      </c>
      <c r="K42" s="118">
        <f>'Health insurance data'!F42*Demographics!AC42*'Health insurance data'!AK42*'Health insurance data'!AL42</f>
        <v>62292.52082689909</v>
      </c>
      <c r="L42" s="118">
        <f>'Health insurance data'!I42*Demographics!AD42*'Health insurance data'!AO42*'Health insurance data'!AP42</f>
        <v>32417.073255060779</v>
      </c>
      <c r="M42" s="118">
        <f>'Health insurance data'!L42*Demographics!AE42*'Health insurance data'!AW42*'Health insurance data'!AX42</f>
        <v>38627.685959579343</v>
      </c>
      <c r="N42" s="118">
        <f>'Health insurance data'!O42*Demographics!AF42*'Health insurance data'!AS42*'Health insurance data'!AT42</f>
        <v>2348.8078012048204</v>
      </c>
      <c r="O42" s="196">
        <f>Demographics!H42*'Health conditions data'!P42</f>
        <v>83220.209999999992</v>
      </c>
      <c r="P42" s="240">
        <f>'FIM interventions data'!E43+'FIM interventions data'!G43+'FIM interventions data'!I43+'FIM interventions data'!K43</f>
        <v>501281261.10082102</v>
      </c>
      <c r="Q42" s="240">
        <f>'FIM interventions data'!L43+'FIM interventions data'!M43+'FIM interventions data'!N43+'FIM interventions data'!O43</f>
        <v>86701116.279141054</v>
      </c>
      <c r="R42" s="240">
        <f>'FIM interventions data'!P43+'FIM interventions data'!Q43+'FIM interventions data'!R43+'FIM interventions data'!S43</f>
        <v>121517671.29359041</v>
      </c>
      <c r="S42" s="240">
        <f>'FIM interventions data'!T43+'FIM interventions data'!U43+'FIM interventions data'!V43+'FIM interventions data'!W43</f>
        <v>303333666.97801751</v>
      </c>
      <c r="T42" s="192">
        <f>'FIM interventions data'!X43+'FIM interventions data'!Y43+'FIM interventions data'!Z43+'FIM interventions data'!AA43</f>
        <v>13102711.868872806</v>
      </c>
      <c r="U42" s="240">
        <f>'FIM interventions data'!AB43+'FIM interventions data'!AC43+'FIM interventions data'!AD43+'FIM interventions data'!AE43</f>
        <v>125458947.03999999</v>
      </c>
      <c r="V42" s="230">
        <f>'FIM interventions data'!AF43+'FIM interventions data'!AG43+'FIM interventions data'!AH43+'FIM interventions data'!AI43</f>
        <v>73354177.505256534</v>
      </c>
      <c r="W42" s="230">
        <f>'FIM interventions data'!AJ43+'FIM interventions data'!AK43+'FIM interventions data'!AL43+'FIM interventions data'!AM43</f>
        <v>38173567.455401458</v>
      </c>
      <c r="X42" s="230">
        <f>'FIM interventions data'!AN43+'FIM interventions data'!AO43+'FIM interventions data'!AP43+'FIM interventions data'!AQ43</f>
        <v>45487035.921537608</v>
      </c>
      <c r="Y42" s="229">
        <f>'FIM interventions data'!AR43+'FIM interventions data'!AS43+'FIM interventions data'!AT43+'FIM interventions data'!AU43</f>
        <v>2765899.6953115677</v>
      </c>
      <c r="Z42" s="326">
        <f>'FIM interventions data'!AV43+'FIM interventions data'!AW43+'FIM interventions data'!AX43+'FIM interventions data'!AY43</f>
        <v>97998122.010960013</v>
      </c>
    </row>
    <row r="43" spans="1:26">
      <c r="A43" s="9">
        <v>42</v>
      </c>
      <c r="B43" s="1" t="s">
        <v>518</v>
      </c>
      <c r="C43" s="1" t="s">
        <v>519</v>
      </c>
      <c r="D43" s="1">
        <v>0</v>
      </c>
      <c r="E43" s="199">
        <f>Demographics!H43*'Health conditions data'!E43*'Health conditions data'!H43</f>
        <v>3860052.165</v>
      </c>
      <c r="F43" s="351">
        <f>'Health insurance data'!F43*'Health insurance data'!R43*'Health insurance data'!S43</f>
        <v>798181.04883462784</v>
      </c>
      <c r="G43" s="351">
        <f>'Health insurance data'!I43*'Health insurance data'!V43*'Health insurance data'!W43</f>
        <v>643982.69132653088</v>
      </c>
      <c r="H43" s="351">
        <f>'Health insurance data'!L43*'Health insurance data'!AF43*'Health insurance data'!AG43</f>
        <v>1846148.5208106842</v>
      </c>
      <c r="I43" s="351">
        <f>'Health insurance data'!O43*'Health insurance data'!AA43*'Health insurance data'!AB43</f>
        <v>42402.800000000017</v>
      </c>
      <c r="J43" s="78">
        <f>Demographics!H43*Demographics!U43*'Health conditions data'!K43*'Health conditions data'!N43</f>
        <v>1209315.0952380963</v>
      </c>
      <c r="K43" s="339">
        <f>'Health insurance data'!F43*Demographics!AC43*'Health insurance data'!AK43*'Health insurance data'!AL43</f>
        <v>726134.80863636336</v>
      </c>
      <c r="L43" s="339">
        <f>'Health insurance data'!I43*Demographics!AD43*'Health insurance data'!AO43*'Health insurance data'!AP43</f>
        <v>338000.96627906925</v>
      </c>
      <c r="M43" s="339">
        <f>'Health insurance data'!L43*Demographics!AE43*'Health insurance data'!AW43*'Health insurance data'!AX43</f>
        <v>282929.9018026148</v>
      </c>
      <c r="N43" s="339">
        <f>'Health insurance data'!O43*Demographics!AF43*'Health insurance data'!AS43*'Health insurance data'!AT43</f>
        <v>11120.643550624163</v>
      </c>
      <c r="O43" s="250">
        <f>Demographics!H43*'Health conditions data'!P43</f>
        <v>845646.75</v>
      </c>
      <c r="P43" s="240">
        <f>'FIM interventions data'!E44+'FIM interventions data'!G44+'FIM interventions data'!I44+'FIM interventions data'!K44</f>
        <v>4545504788.2520409</v>
      </c>
      <c r="Q43" s="347">
        <f>'FIM interventions data'!L44+'FIM interventions data'!M44+'FIM interventions data'!N44+'FIM interventions data'!O44</f>
        <v>939918846.76248574</v>
      </c>
      <c r="R43" s="347">
        <f>'FIM interventions data'!P44+'FIM interventions data'!Q44+'FIM interventions data'!R44+'FIM interventions data'!S44</f>
        <v>758338561.72153103</v>
      </c>
      <c r="S43" s="347">
        <f>'FIM interventions data'!T44+'FIM interventions data'!U44+'FIM interventions data'!V44+'FIM interventions data'!W44</f>
        <v>2173980190.5421624</v>
      </c>
      <c r="T43" s="348">
        <f>'FIM interventions data'!X44+'FIM interventions data'!Y44+'FIM interventions data'!Z44+'FIM interventions data'!AA44</f>
        <v>49932519.612800024</v>
      </c>
      <c r="U43" s="347">
        <f>'FIM interventions data'!AB44+'FIM interventions data'!AC44+'FIM interventions data'!AD44+'FIM interventions data'!AE44</f>
        <v>1424060432.5900967</v>
      </c>
      <c r="V43" s="349">
        <f>'FIM interventions data'!AF44+'FIM interventions data'!AG44+'FIM interventions data'!AH44+'FIM interventions data'!AI44</f>
        <v>855078923.41477442</v>
      </c>
      <c r="W43" s="349">
        <f>'FIM interventions data'!AJ44+'FIM interventions data'!AK44+'FIM interventions data'!AL44+'FIM interventions data'!AM44</f>
        <v>398021825.86704129</v>
      </c>
      <c r="X43" s="349">
        <f>'FIM interventions data'!AN44+'FIM interventions data'!AO44+'FIM interventions data'!AP44+'FIM interventions data'!AQ44</f>
        <v>333171462.04511595</v>
      </c>
      <c r="Y43" s="350">
        <f>'FIM interventions data'!AR44+'FIM interventions data'!AS44+'FIM interventions data'!AT44+'FIM interventions data'!AU44</f>
        <v>13095402.949769801</v>
      </c>
      <c r="Z43" s="326">
        <f>'FIM interventions data'!AV44+'FIM interventions data'!AW44+'FIM interventions data'!AX44+'FIM interventions data'!AY44</f>
        <v>995813317.27800012</v>
      </c>
    </row>
    <row r="44" spans="1:26">
      <c r="A44" s="9">
        <v>43</v>
      </c>
      <c r="B44" s="1" t="s">
        <v>523</v>
      </c>
      <c r="C44" s="1" t="s">
        <v>524</v>
      </c>
      <c r="D44" s="1">
        <v>1</v>
      </c>
      <c r="E44" s="199">
        <f>Demographics!H44*'Health conditions data'!E44*'Health conditions data'!H44</f>
        <v>15042248.419354824</v>
      </c>
      <c r="F44" s="198">
        <f>'Health insurance data'!F44*'Health insurance data'!R44*'Health insurance data'!S44</f>
        <v>2696474.0019620494</v>
      </c>
      <c r="G44" s="198">
        <f>'Health insurance data'!I44*'Health insurance data'!V44*'Health insurance data'!W44</f>
        <v>2178160.0494406801</v>
      </c>
      <c r="H44" s="198">
        <f>'Health insurance data'!L44*'Health insurance data'!AF44*'Health insurance data'!AG44</f>
        <v>8519673.1082946397</v>
      </c>
      <c r="I44" s="198">
        <f>'Health insurance data'!O44*'Health insurance data'!AA44*'Health insurance data'!AB44</f>
        <v>281173.23349253775</v>
      </c>
      <c r="J44" s="78">
        <f>Demographics!H44*Demographics!U44*'Health conditions data'!K44*'Health conditions data'!N44</f>
        <v>4131174.9896907252</v>
      </c>
      <c r="K44" s="118">
        <f>'Health insurance data'!F44*Demographics!AC44*'Health insurance data'!AK44*'Health insurance data'!AL44</f>
        <v>2259837.9943759944</v>
      </c>
      <c r="L44" s="118">
        <f>'Health insurance data'!I44*Demographics!AD44*'Health insurance data'!AO44*'Health insurance data'!AP44</f>
        <v>733730.47230101028</v>
      </c>
      <c r="M44" s="118">
        <f>'Health insurance data'!L44*Demographics!AE44*'Health insurance data'!AW44*'Health insurance data'!AX44</f>
        <v>1172868.1730630733</v>
      </c>
      <c r="N44" s="118">
        <f>'Health insurance data'!O44*Demographics!AF44*'Health insurance data'!AS44*'Health insurance data'!AT44</f>
        <v>47577.534815492159</v>
      </c>
      <c r="O44" s="196">
        <f>Demographics!H44*'Health conditions data'!P44</f>
        <v>5288150.4389999993</v>
      </c>
      <c r="P44" s="240">
        <f>'FIM interventions data'!E45+'FIM interventions data'!G45+'FIM interventions data'!I45+'FIM interventions data'!K45</f>
        <v>17713390724.670181</v>
      </c>
      <c r="Q44" s="240">
        <f>'FIM interventions data'!L45+'FIM interventions data'!M45+'FIM interventions data'!N45+'FIM interventions data'!O45</f>
        <v>3175303069.3344631</v>
      </c>
      <c r="R44" s="240">
        <f>'FIM interventions data'!P45+'FIM interventions data'!Q45+'FIM interventions data'!R45+'FIM interventions data'!S45</f>
        <v>2564948998.3801584</v>
      </c>
      <c r="S44" s="240">
        <f>'FIM interventions data'!T45+'FIM interventions data'!U45+'FIM interventions data'!V45+'FIM interventions data'!W45</f>
        <v>10032562580.17317</v>
      </c>
      <c r="T44" s="192">
        <f>'FIM interventions data'!X45+'FIM interventions data'!Y45+'FIM interventions data'!Z45+'FIM interventions data'!AA45</f>
        <v>331102851.60320866</v>
      </c>
      <c r="U44" s="240">
        <f>'FIM interventions data'!AB45+'FIM interventions data'!AC45+'FIM interventions data'!AD45+'FIM interventions data'!AE45</f>
        <v>4864772519.6600456</v>
      </c>
      <c r="V44" s="230">
        <f>'FIM interventions data'!AF45+'FIM interventions data'!AG45+'FIM interventions data'!AH45+'FIM interventions data'!AI45</f>
        <v>2661130986.0653067</v>
      </c>
      <c r="W44" s="230">
        <f>'FIM interventions data'!AJ45+'FIM interventions data'!AK45+'FIM interventions data'!AL45+'FIM interventions data'!AM45</f>
        <v>864023394.6503346</v>
      </c>
      <c r="X44" s="230">
        <f>'FIM interventions data'!AN45+'FIM interventions data'!AO45+'FIM interventions data'!AP45+'FIM interventions data'!AQ45</f>
        <v>1381141411.7629218</v>
      </c>
      <c r="Y44" s="229">
        <f>'FIM interventions data'!AR45+'FIM interventions data'!AS45+'FIM interventions data'!AT45+'FIM interventions data'!AU45</f>
        <v>56026163.137888007</v>
      </c>
      <c r="Z44" s="326">
        <f>'FIM interventions data'!AV45+'FIM interventions data'!AW45+'FIM interventions data'!AX45+'FIM interventions data'!AY45</f>
        <v>6227199041.3558636</v>
      </c>
    </row>
    <row r="45" spans="1:26">
      <c r="A45" s="9">
        <v>44</v>
      </c>
      <c r="B45" s="1" t="s">
        <v>528</v>
      </c>
      <c r="C45" s="1" t="s">
        <v>529</v>
      </c>
      <c r="D45" s="1">
        <v>0</v>
      </c>
      <c r="E45" s="199">
        <f>Demographics!H45*'Health conditions data'!E45*'Health conditions data'!H45</f>
        <v>1771927.7519741561</v>
      </c>
      <c r="F45" s="198">
        <f>'Health insurance data'!F45*'Health insurance data'!R45*'Health insurance data'!S45</f>
        <v>238454.06753246748</v>
      </c>
      <c r="G45" s="198">
        <f>'Health insurance data'!I45*'Health insurance data'!V45*'Health insurance data'!W45</f>
        <v>210317.89437229422</v>
      </c>
      <c r="H45" s="198">
        <f>'Health insurance data'!L45*'Health insurance data'!AF45*'Health insurance data'!AG45</f>
        <v>1235214.1915556986</v>
      </c>
      <c r="I45" s="198">
        <f>'Health insurance data'!O45*'Health insurance data'!AA45*'Health insurance data'!AB45</f>
        <v>20322.492072368419</v>
      </c>
      <c r="J45" s="78">
        <f>Demographics!H45*Demographics!U45*'Health conditions data'!K45*'Health conditions data'!N45</f>
        <v>345865.29984301428</v>
      </c>
      <c r="K45" s="118">
        <f>'Health insurance data'!F45*Demographics!AC45*'Health insurance data'!AK45*'Health insurance data'!AL45</f>
        <v>184740.95123725373</v>
      </c>
      <c r="L45" s="118">
        <f>'Health insurance data'!I45*Demographics!AD45*'Health insurance data'!AO45*'Health insurance data'!AP45</f>
        <v>56846.344941176445</v>
      </c>
      <c r="M45" s="118">
        <f>'Health insurance data'!L45*Demographics!AE45*'Health insurance data'!AW45*'Health insurance data'!AX45</f>
        <v>156217.39238770708</v>
      </c>
      <c r="N45" s="118">
        <f>'Health insurance data'!O45*Demographics!AF45*'Health insurance data'!AS45*'Health insurance data'!AT45</f>
        <v>3081.9559406235753</v>
      </c>
      <c r="O45" s="196">
        <f>Demographics!H45*'Health conditions data'!P45</f>
        <v>413426.33400000003</v>
      </c>
      <c r="P45" s="240">
        <f>'FIM interventions data'!E46+'FIM interventions data'!G46+'FIM interventions data'!I46+'FIM interventions data'!K46</f>
        <v>2086579594.458719</v>
      </c>
      <c r="Q45" s="240">
        <f>'FIM interventions data'!L46+'FIM interventions data'!M46+'FIM interventions data'!N46+'FIM interventions data'!O46</f>
        <v>280797787.02861297</v>
      </c>
      <c r="R45" s="240">
        <f>'FIM interventions data'!P46+'FIM interventions data'!Q46+'FIM interventions data'!R46+'FIM interventions data'!S46</f>
        <v>247665304.78334877</v>
      </c>
      <c r="S45" s="240">
        <f>'FIM interventions data'!T46+'FIM interventions data'!U46+'FIM interventions data'!V46+'FIM interventions data'!W46</f>
        <v>1454558586.8353934</v>
      </c>
      <c r="T45" s="192">
        <f>'FIM interventions data'!X46+'FIM interventions data'!Y46+'FIM interventions data'!Z46+'FIM interventions data'!AA46</f>
        <v>23931278.924611319</v>
      </c>
      <c r="U45" s="240">
        <f>'FIM interventions data'!AB46+'FIM interventions data'!AC46+'FIM interventions data'!AD46+'FIM interventions data'!AE46</f>
        <v>407282676.32793742</v>
      </c>
      <c r="V45" s="230">
        <f>'FIM interventions data'!AF46+'FIM interventions data'!AG46+'FIM interventions data'!AH46+'FIM interventions data'!AI46</f>
        <v>217546510.39416033</v>
      </c>
      <c r="W45" s="230">
        <f>'FIM interventions data'!AJ46+'FIM interventions data'!AK46+'FIM interventions data'!AL46+'FIM interventions data'!AM46</f>
        <v>66940891.490450799</v>
      </c>
      <c r="X45" s="230">
        <f>'FIM interventions data'!AN46+'FIM interventions data'!AO46+'FIM interventions data'!AP46+'FIM interventions data'!AQ46</f>
        <v>183957852.05834657</v>
      </c>
      <c r="Y45" s="229">
        <f>'FIM interventions data'!AR46+'FIM interventions data'!AS46+'FIM interventions data'!AT46+'FIM interventions data'!AU46</f>
        <v>3629237.3487357479</v>
      </c>
      <c r="Z45" s="326">
        <f>'FIM interventions data'!AV46+'FIM interventions data'!AW46+'FIM interventions data'!AX46+'FIM interventions data'!AY46</f>
        <v>486840928.68638408</v>
      </c>
    </row>
    <row r="46" spans="1:26">
      <c r="A46" s="9">
        <v>45</v>
      </c>
      <c r="B46" s="1" t="s">
        <v>533</v>
      </c>
      <c r="C46" s="1" t="s">
        <v>534</v>
      </c>
      <c r="D46" s="1">
        <v>0</v>
      </c>
      <c r="E46" s="199">
        <f>Demographics!H46*'Health conditions data'!E46*'Health conditions data'!H46</f>
        <v>333170.71559633006</v>
      </c>
      <c r="F46" s="198">
        <f>'Health insurance data'!F46*'Health insurance data'!R46*'Health insurance data'!S46</f>
        <v>91889.142053571399</v>
      </c>
      <c r="G46" s="198">
        <f>'Health insurance data'!I46*'Health insurance data'!V46*'Health insurance data'!W46</f>
        <v>96671.125521126742</v>
      </c>
      <c r="H46" s="198">
        <f>'Health insurance data'!L46*'Health insurance data'!AF46*'Health insurance data'!AG46</f>
        <v>175686.72232081793</v>
      </c>
      <c r="I46" s="198">
        <f>'Health insurance data'!O46*'Health insurance data'!AA46*'Health insurance data'!AB46</f>
        <v>1132.7681343669235</v>
      </c>
      <c r="J46" s="78">
        <f>Demographics!H46*Demographics!U46*'Health conditions data'!K46*'Health conditions data'!N46</f>
        <v>86296.696969696946</v>
      </c>
      <c r="K46" s="118">
        <f>'Health insurance data'!F46*Demographics!AC46*'Health insurance data'!AK46*'Health insurance data'!AL46</f>
        <v>73113.147217219012</v>
      </c>
      <c r="L46" s="118">
        <f>'Health insurance data'!I46*Demographics!AD46*'Health insurance data'!AO46*'Health insurance data'!AP46</f>
        <v>19620.11726679845</v>
      </c>
      <c r="M46" s="118">
        <f>'Health insurance data'!L46*Demographics!AE46*'Health insurance data'!AW46*'Health insurance data'!AX46</f>
        <v>14477.299014443337</v>
      </c>
      <c r="N46" s="118">
        <f>'Health insurance data'!O46*Demographics!AF46*'Health insurance data'!AS46*'Health insurance data'!AT46</f>
        <v>307.46936714079493</v>
      </c>
      <c r="O46" s="196">
        <f>Demographics!H46*'Health conditions data'!P46</f>
        <v>59661.356</v>
      </c>
      <c r="P46" s="240">
        <f>'FIM interventions data'!E47+'FIM interventions data'!G47+'FIM interventions data'!I47+'FIM interventions data'!K47</f>
        <v>392333838.589064</v>
      </c>
      <c r="Q46" s="240">
        <f>'FIM interventions data'!L47+'FIM interventions data'!M47+'FIM interventions data'!N47+'FIM interventions data'!O47</f>
        <v>108206448.3428764</v>
      </c>
      <c r="R46" s="240">
        <f>'FIM interventions data'!P47+'FIM interventions data'!Q47+'FIM interventions data'!R47+'FIM interventions data'!S47</f>
        <v>113837597.30666636</v>
      </c>
      <c r="S46" s="240">
        <f>'FIM interventions data'!T47+'FIM interventions data'!U47+'FIM interventions data'!V47+'FIM interventions data'!W47</f>
        <v>206884467.72365952</v>
      </c>
      <c r="T46" s="192">
        <f>'FIM interventions data'!X47+'FIM interventions data'!Y47+'FIM interventions data'!Z47+'FIM interventions data'!AA47</f>
        <v>1333920.5685952646</v>
      </c>
      <c r="U46" s="240">
        <f>'FIM interventions data'!AB47+'FIM interventions data'!AC47+'FIM interventions data'!AD47+'FIM interventions data'!AE47</f>
        <v>101620919.23078786</v>
      </c>
      <c r="V46" s="230">
        <f>'FIM interventions data'!AF47+'FIM interventions data'!AG47+'FIM interventions data'!AH47+'FIM interventions data'!AI47</f>
        <v>86096287.4474639</v>
      </c>
      <c r="W46" s="230">
        <f>'FIM interventions data'!AJ47+'FIM interventions data'!AK47+'FIM interventions data'!AL47+'FIM interventions data'!AM47</f>
        <v>23104179.210567452</v>
      </c>
      <c r="X46" s="230">
        <f>'FIM interventions data'!AN47+'FIM interventions data'!AO47+'FIM interventions data'!AP47+'FIM interventions data'!AQ47</f>
        <v>17048119.86423213</v>
      </c>
      <c r="Y46" s="229">
        <f>'FIM interventions data'!AR47+'FIM interventions data'!AS47+'FIM interventions data'!AT47+'FIM interventions data'!AU47</f>
        <v>362068.54748018878</v>
      </c>
      <c r="Z46" s="326">
        <f>'FIM interventions data'!AV47+'FIM interventions data'!AW47+'FIM interventions data'!AX47+'FIM interventions data'!AY47</f>
        <v>70255780.953056008</v>
      </c>
    </row>
    <row r="47" spans="1:26">
      <c r="A47" s="9">
        <v>46</v>
      </c>
      <c r="B47" s="1" t="s">
        <v>538</v>
      </c>
      <c r="C47" s="1" t="s">
        <v>539</v>
      </c>
      <c r="D47" s="1">
        <v>0</v>
      </c>
      <c r="E47" s="199">
        <f>Demographics!H47*'Health conditions data'!E47*'Health conditions data'!H47</f>
        <v>4369844.2290351652</v>
      </c>
      <c r="F47" s="198">
        <f>'Health insurance data'!F47*'Health insurance data'!R47*'Health insurance data'!S47</f>
        <v>1105880.4970285718</v>
      </c>
      <c r="G47" s="198">
        <f>'Health insurance data'!I47*'Health insurance data'!V47*'Health insurance data'!W47</f>
        <v>907128.8422777782</v>
      </c>
      <c r="H47" s="198">
        <f>'Health insurance data'!L47*'Health insurance data'!AF47*'Health insurance data'!AG47</f>
        <v>2551890.1221725498</v>
      </c>
      <c r="I47" s="198">
        <f>'Health insurance data'!O47*'Health insurance data'!AA47*'Health insurance data'!AB47</f>
        <v>164780.78961038945</v>
      </c>
      <c r="J47" s="78">
        <f>Demographics!H47*Demographics!U47*'Health conditions data'!K47*'Health conditions data'!N47</f>
        <v>989530.72307692247</v>
      </c>
      <c r="K47" s="118">
        <f>'Health insurance data'!F47*Demographics!AC47*'Health insurance data'!AK47*'Health insurance data'!AL47</f>
        <v>796764.94238154648</v>
      </c>
      <c r="L47" s="118">
        <f>'Health insurance data'!I47*Demographics!AD47*'Health insurance data'!AO47*'Health insurance data'!AP47</f>
        <v>254655.02122905065</v>
      </c>
      <c r="M47" s="118">
        <f>'Health insurance data'!L47*Demographics!AE47*'Health insurance data'!AW47*'Health insurance data'!AX47</f>
        <v>269986.52543514565</v>
      </c>
      <c r="N47" s="118">
        <f>'Health insurance data'!O47*Demographics!AF47*'Health insurance data'!AS47*'Health insurance data'!AT47</f>
        <v>29464.575155574741</v>
      </c>
      <c r="O47" s="196">
        <f>Demographics!H47*'Health conditions data'!P47</f>
        <v>881119.5</v>
      </c>
      <c r="P47" s="240">
        <f>'FIM interventions data'!E48+'FIM interventions data'!G48+'FIM interventions data'!I48+'FIM interventions data'!K48</f>
        <v>5145823687.8503141</v>
      </c>
      <c r="Q47" s="240">
        <f>'FIM interventions data'!L48+'FIM interventions data'!M48+'FIM interventions data'!N48+'FIM interventions data'!O48</f>
        <v>1302258332.1689177</v>
      </c>
      <c r="R47" s="240">
        <f>'FIM interventions data'!P48+'FIM interventions data'!Q48+'FIM interventions data'!R48+'FIM interventions data'!S48</f>
        <v>1068213153.574097</v>
      </c>
      <c r="S47" s="240">
        <f>'FIM interventions data'!T48+'FIM interventions data'!U48+'FIM interventions data'!V48+'FIM interventions data'!W48</f>
        <v>3005044562.507463</v>
      </c>
      <c r="T47" s="192">
        <f>'FIM interventions data'!X48+'FIM interventions data'!Y48+'FIM interventions data'!Z48+'FIM interventions data'!AA48</f>
        <v>194041903.106244</v>
      </c>
      <c r="U47" s="240">
        <f>'FIM interventions data'!AB48+'FIM interventions data'!AC48+'FIM interventions data'!AD48+'FIM interventions data'!AE48</f>
        <v>1165247630.7580304</v>
      </c>
      <c r="V47" s="230">
        <f>'FIM interventions data'!AF48+'FIM interventions data'!AG48+'FIM interventions data'!AH48+'FIM interventions data'!AI48</f>
        <v>938251273.78989208</v>
      </c>
      <c r="W47" s="230">
        <f>'FIM interventions data'!AJ48+'FIM interventions data'!AK48+'FIM interventions data'!AL48+'FIM interventions data'!AM48</f>
        <v>299875641.27882057</v>
      </c>
      <c r="X47" s="230">
        <f>'FIM interventions data'!AN48+'FIM interventions data'!AO48+'FIM interventions data'!AP48+'FIM interventions data'!AQ48</f>
        <v>317929652.67581713</v>
      </c>
      <c r="Y47" s="229">
        <f>'FIM interventions data'!AR48+'FIM interventions data'!AS48+'FIM interventions data'!AT48+'FIM interventions data'!AU48</f>
        <v>34696776.55340109</v>
      </c>
      <c r="Z47" s="326">
        <f>'FIM interventions data'!AV48+'FIM interventions data'!AW48+'FIM interventions data'!AX48+'FIM interventions data'!AY48</f>
        <v>1037585176.3320001</v>
      </c>
    </row>
    <row r="48" spans="1:26">
      <c r="A48" s="9">
        <v>47</v>
      </c>
      <c r="B48" s="1" t="s">
        <v>543</v>
      </c>
      <c r="C48" s="1" t="s">
        <v>544</v>
      </c>
      <c r="D48" s="1">
        <v>0</v>
      </c>
      <c r="E48" s="199">
        <f>Demographics!H48*'Health conditions data'!E48*'Health conditions data'!H48</f>
        <v>4041149.2018348644</v>
      </c>
      <c r="F48" s="198">
        <f>'Health insurance data'!F48*'Health insurance data'!R48*'Health insurance data'!S48</f>
        <v>1074565.6694786358</v>
      </c>
      <c r="G48" s="198">
        <f>'Health insurance data'!I48*'Health insurance data'!V48*'Health insurance data'!W48</f>
        <v>557186.28828571399</v>
      </c>
      <c r="H48" s="198">
        <f>'Health insurance data'!L48*'Health insurance data'!AF48*'Health insurance data'!AG48</f>
        <v>2497567.4242046182</v>
      </c>
      <c r="I48" s="198">
        <f>'Health insurance data'!O48*'Health insurance data'!AA48*'Health insurance data'!AB48</f>
        <v>81079.104896536257</v>
      </c>
      <c r="J48" s="78">
        <f>Demographics!H48*Demographics!U48*'Health conditions data'!K48*'Health conditions data'!N48</f>
        <v>871658.18509615446</v>
      </c>
      <c r="K48" s="118">
        <f>'Health insurance data'!F48*Demographics!AC48*'Health insurance data'!AK48*'Health insurance data'!AL48</f>
        <v>853048.41796298651</v>
      </c>
      <c r="L48" s="118">
        <f>'Health insurance data'!I48*Demographics!AD48*'Health insurance data'!AO48*'Health insurance data'!AP48</f>
        <v>137134.4350724637</v>
      </c>
      <c r="M48" s="118">
        <f>'Health insurance data'!L48*Demographics!AE48*'Health insurance data'!AW48*'Health insurance data'!AX48</f>
        <v>185561.99514226237</v>
      </c>
      <c r="N48" s="118">
        <f>'Health insurance data'!O48*Demographics!AF48*'Health insurance data'!AS48*'Health insurance data'!AT48</f>
        <v>14188.866310096188</v>
      </c>
      <c r="O48" s="196">
        <f>Demographics!H48*'Health conditions data'!P48</f>
        <v>756027.1</v>
      </c>
      <c r="P48" s="240">
        <f>'FIM interventions data'!E49+'FIM interventions data'!G49+'FIM interventions data'!I49+'FIM interventions data'!K49</f>
        <v>4758760312.4998932</v>
      </c>
      <c r="Q48" s="240">
        <f>'FIM interventions data'!L49+'FIM interventions data'!M49+'FIM interventions data'!N49+'FIM interventions data'!O49</f>
        <v>1265382742.8019741</v>
      </c>
      <c r="R48" s="240">
        <f>'FIM interventions data'!P49+'FIM interventions data'!Q49+'FIM interventions data'!R49+'FIM interventions data'!S49</f>
        <v>656129200.61433804</v>
      </c>
      <c r="S48" s="240">
        <f>'FIM interventions data'!T49+'FIM interventions data'!U49+'FIM interventions data'!V49+'FIM interventions data'!W49</f>
        <v>2941075457.1251774</v>
      </c>
      <c r="T48" s="192">
        <f>'FIM interventions data'!X49+'FIM interventions data'!Y49+'FIM interventions data'!Z49+'FIM interventions data'!AA49</f>
        <v>95476808.027643591</v>
      </c>
      <c r="U48" s="240">
        <f>'FIM interventions data'!AB49+'FIM interventions data'!AC49+'FIM interventions data'!AD49+'FIM interventions data'!AE49</f>
        <v>1026443758.9727893</v>
      </c>
      <c r="V48" s="230">
        <f>'FIM interventions data'!AF49+'FIM interventions data'!AG49+'FIM interventions data'!AH49+'FIM interventions data'!AI49</f>
        <v>1004529343.8311818</v>
      </c>
      <c r="W48" s="230">
        <f>'FIM interventions data'!AJ49+'FIM interventions data'!AK49+'FIM interventions data'!AL49+'FIM interventions data'!AM49</f>
        <v>161486219.51489154</v>
      </c>
      <c r="X48" s="230">
        <f>'FIM interventions data'!AN49+'FIM interventions data'!AO49+'FIM interventions data'!AP49+'FIM interventions data'!AQ49</f>
        <v>218513351.9916448</v>
      </c>
      <c r="Y48" s="229">
        <f>'FIM interventions data'!AR49+'FIM interventions data'!AS49+'FIM interventions data'!AT49+'FIM interventions data'!AU49</f>
        <v>16708468.433977831</v>
      </c>
      <c r="Z48" s="326">
        <f>'FIM interventions data'!AV49+'FIM interventions data'!AW49+'FIM interventions data'!AX49+'FIM interventions data'!AY49</f>
        <v>890279368.30960011</v>
      </c>
    </row>
    <row r="49" spans="1:35">
      <c r="A49" s="9">
        <v>48</v>
      </c>
      <c r="B49" s="1" t="s">
        <v>548</v>
      </c>
      <c r="C49" s="1" t="s">
        <v>549</v>
      </c>
      <c r="D49" s="1">
        <v>1</v>
      </c>
      <c r="E49" s="199">
        <f>Demographics!H49*'Health conditions data'!E49*'Health conditions data'!H49</f>
        <v>1126512.3141993959</v>
      </c>
      <c r="F49" s="198">
        <f>'Health insurance data'!F49*'Health insurance data'!R49*'Health insurance data'!S49</f>
        <v>260422.17400908735</v>
      </c>
      <c r="G49" s="198">
        <f>'Health insurance data'!I49*'Health insurance data'!V49*'Health insurance data'!W49</f>
        <v>251580.5351973642</v>
      </c>
      <c r="H49" s="198">
        <f>'Health insurance data'!L49*'Health insurance data'!AF49*'Health insurance data'!AG49</f>
        <v>475416.41199381143</v>
      </c>
      <c r="I49" s="198">
        <f>'Health insurance data'!O49*'Health insurance data'!AA49*'Health insurance data'!AB49</f>
        <v>12196.261546874999</v>
      </c>
      <c r="J49" s="78">
        <f>Demographics!H49*Demographics!U49*'Health conditions data'!K49*'Health conditions data'!N49</f>
        <v>416141.86941580748</v>
      </c>
      <c r="K49" s="118">
        <f>'Health insurance data'!F49*Demographics!AC49*'Health insurance data'!AK49*'Health insurance data'!AL49</f>
        <v>276783.55784731189</v>
      </c>
      <c r="L49" s="118">
        <f>'Health insurance data'!I49*Demographics!AD49*'Health insurance data'!AO49*'Health insurance data'!AP49</f>
        <v>75756.551259600572</v>
      </c>
      <c r="M49" s="118">
        <f>'Health insurance data'!L49*Demographics!AE49*'Health insurance data'!AW49*'Health insurance data'!AX49</f>
        <v>54703.080457237098</v>
      </c>
      <c r="N49" s="118">
        <f>'Health insurance data'!O49*Demographics!AF49*'Health insurance data'!AS49*'Health insurance data'!AT49</f>
        <v>2944.8606726415574</v>
      </c>
      <c r="O49" s="196">
        <f>Demographics!H49*'Health conditions data'!P49</f>
        <v>242487.12299999996</v>
      </c>
      <c r="P49" s="240">
        <f>'FIM interventions data'!E50+'FIM interventions data'!G50+'FIM interventions data'!I50+'FIM interventions data'!K50</f>
        <v>1326553864.905668</v>
      </c>
      <c r="Q49" s="240">
        <f>'FIM interventions data'!L50+'FIM interventions data'!M50+'FIM interventions data'!N50+'FIM interventions data'!O50</f>
        <v>306666901.98092508</v>
      </c>
      <c r="R49" s="240">
        <f>'FIM interventions data'!P50+'FIM interventions data'!Q50+'FIM interventions data'!R50+'FIM interventions data'!S50</f>
        <v>296255200.31557137</v>
      </c>
      <c r="S49" s="240">
        <f>'FIM interventions data'!T50+'FIM interventions data'!U50+'FIM interventions data'!V50+'FIM interventions data'!W50</f>
        <v>559838956.77002454</v>
      </c>
      <c r="T49" s="192">
        <f>'FIM interventions data'!X50+'FIM interventions data'!Y50+'FIM interventions data'!Z50+'FIM interventions data'!AA50</f>
        <v>14362024.887322877</v>
      </c>
      <c r="U49" s="240">
        <f>'FIM interventions data'!AB50+'FIM interventions data'!AC50+'FIM interventions data'!AD50+'FIM interventions data'!AE50</f>
        <v>490038678.019189</v>
      </c>
      <c r="V49" s="230">
        <f>'FIM interventions data'!AF50+'FIM interventions data'!AG50+'FIM interventions data'!AH50+'FIM interventions data'!AI50</f>
        <v>325933674.9156062</v>
      </c>
      <c r="W49" s="230">
        <f>'FIM interventions data'!AJ50+'FIM interventions data'!AK50+'FIM interventions data'!AL50+'FIM interventions data'!AM50</f>
        <v>89209096.606075406</v>
      </c>
      <c r="X49" s="230">
        <f>'FIM interventions data'!AN50+'FIM interventions data'!AO50+'FIM interventions data'!AP50+'FIM interventions data'!AQ50</f>
        <v>64417034.672511443</v>
      </c>
      <c r="Y49" s="229">
        <f>'FIM interventions data'!AR50+'FIM interventions data'!AS50+'FIM interventions data'!AT50+'FIM interventions data'!AU50</f>
        <v>3467797.2514465554</v>
      </c>
      <c r="Z49" s="326">
        <f>'FIM interventions data'!AV50+'FIM interventions data'!AW50+'FIM interventions data'!AX50+'FIM interventions data'!AY50</f>
        <v>285547016.35384798</v>
      </c>
    </row>
    <row r="50" spans="1:35">
      <c r="A50" s="9">
        <v>49</v>
      </c>
      <c r="B50" s="1" t="s">
        <v>553</v>
      </c>
      <c r="C50" s="1" t="s">
        <v>554</v>
      </c>
      <c r="D50" s="1">
        <v>0</v>
      </c>
      <c r="E50" s="199">
        <f>Demographics!H50*'Health conditions data'!E50*'Health conditions data'!H50</f>
        <v>3104321.0728514511</v>
      </c>
      <c r="F50" s="198">
        <f>'Health insurance data'!F50*'Health insurance data'!R50*'Health insurance data'!S50</f>
        <v>829879.92658823507</v>
      </c>
      <c r="G50" s="198">
        <f>'Health insurance data'!I50*'Health insurance data'!V50*'Health insurance data'!W50</f>
        <v>712455.73200000008</v>
      </c>
      <c r="H50" s="198">
        <f>'Health insurance data'!L50*'Health insurance data'!AF50*'Health insurance data'!AG50</f>
        <v>2355612.2877545161</v>
      </c>
      <c r="I50" s="198">
        <f>'Health insurance data'!O50*'Health insurance data'!AA50*'Health insurance data'!AB50</f>
        <v>36682.923076923071</v>
      </c>
      <c r="J50" s="78">
        <f>Demographics!H50*Demographics!U50*'Health conditions data'!K50*'Health conditions data'!N50</f>
        <v>705577.29032258014</v>
      </c>
      <c r="K50" s="118">
        <f>'Health insurance data'!F50*Demographics!AC50*'Health insurance data'!AK50*'Health insurance data'!AL50</f>
        <v>469922.12285420153</v>
      </c>
      <c r="L50" s="118">
        <f>'Health insurance data'!I50*Demographics!AD50*'Health insurance data'!AO50*'Health insurance data'!AP50</f>
        <v>234580.55127433399</v>
      </c>
      <c r="M50" s="118">
        <f>'Health insurance data'!L50*Demographics!AE50*'Health insurance data'!AW50*'Health insurance data'!AX50</f>
        <v>209582.46193181898</v>
      </c>
      <c r="N50" s="118">
        <f>'Health insurance data'!O50*Demographics!AF50*'Health insurance data'!AS50*'Health insurance data'!AT50</f>
        <v>6362.5592275619838</v>
      </c>
      <c r="O50" s="196">
        <f>Demographics!H50*'Health conditions data'!P50</f>
        <v>637824.32499999995</v>
      </c>
      <c r="P50" s="240">
        <f>'FIM interventions data'!E51+'FIM interventions data'!G51+'FIM interventions data'!I51+'FIM interventions data'!K51</f>
        <v>3655573991.6841207</v>
      </c>
      <c r="Q50" s="240">
        <f>'FIM interventions data'!L51+'FIM interventions data'!M51+'FIM interventions data'!N51+'FIM interventions data'!O51</f>
        <v>977246684.43206751</v>
      </c>
      <c r="R50" s="240">
        <f>'FIM interventions data'!P51+'FIM interventions data'!Q51+'FIM interventions data'!R51+'FIM interventions data'!S51</f>
        <v>838970771.06563222</v>
      </c>
      <c r="S50" s="240">
        <f>'FIM interventions data'!T51+'FIM interventions data'!U51+'FIM interventions data'!V51+'FIM interventions data'!W51</f>
        <v>2773912495.3648124</v>
      </c>
      <c r="T50" s="192">
        <f>'FIM interventions data'!X51+'FIM interventions data'!Y51+'FIM interventions data'!Z51+'FIM interventions data'!AA51</f>
        <v>43196929.825230762</v>
      </c>
      <c r="U50" s="240">
        <f>'FIM interventions data'!AB51+'FIM interventions data'!AC51+'FIM interventions data'!AD51+'FIM interventions data'!AE51</f>
        <v>830870883.2289027</v>
      </c>
      <c r="V50" s="230">
        <f>'FIM interventions data'!AF51+'FIM interventions data'!AG51+'FIM interventions data'!AH51+'FIM interventions data'!AI51</f>
        <v>553369013.74215925</v>
      </c>
      <c r="W50" s="230">
        <f>'FIM interventions data'!AJ51+'FIM interventions data'!AK51+'FIM interventions data'!AL51+'FIM interventions data'!AM51</f>
        <v>276236427.2474252</v>
      </c>
      <c r="X50" s="230">
        <f>'FIM interventions data'!AN51+'FIM interventions data'!AO51+'FIM interventions data'!AP51+'FIM interventions data'!AQ51</f>
        <v>246799277.19182369</v>
      </c>
      <c r="Y50" s="229">
        <f>'FIM interventions data'!AR51+'FIM interventions data'!AS51+'FIM interventions data'!AT51+'FIM interventions data'!AU51</f>
        <v>7492397.0449555321</v>
      </c>
      <c r="Z50" s="326">
        <f>'FIM interventions data'!AV51+'FIM interventions data'!AW51+'FIM interventions data'!AX51+'FIM interventions data'!AY51</f>
        <v>751086617.3362</v>
      </c>
    </row>
    <row r="51" spans="1:35">
      <c r="A51" s="13">
        <v>50</v>
      </c>
      <c r="B51" s="14" t="s">
        <v>558</v>
      </c>
      <c r="C51" s="14" t="s">
        <v>559</v>
      </c>
      <c r="D51" s="14">
        <v>0</v>
      </c>
      <c r="E51" s="285">
        <f>Demographics!H51*'Health conditions data'!E51*'Health conditions data'!H51</f>
        <v>308685.40506329143</v>
      </c>
      <c r="F51" s="286">
        <f>'Health insurance data'!F51*'Health insurance data'!R51*'Health insurance data'!S51</f>
        <v>65713.195914893629</v>
      </c>
      <c r="G51" s="286">
        <f>'Health insurance data'!I51*'Health insurance data'!V51*'Health insurance data'!W51</f>
        <v>73672.606749999963</v>
      </c>
      <c r="H51" s="286">
        <f>'Health insurance data'!L51*'Health insurance data'!AF51*'Health insurance data'!AG51</f>
        <v>180313.63085432435</v>
      </c>
      <c r="I51" s="286">
        <f>'Health insurance data'!O51*'Health insurance data'!AA51*'Health insurance data'!AB51</f>
        <v>4989.5984561403557</v>
      </c>
      <c r="J51" s="78">
        <f>Demographics!H51*Demographics!U51*'Health conditions data'!K51*'Health conditions data'!N51</f>
        <v>83023.602649006629</v>
      </c>
      <c r="K51" s="249">
        <f>'Health insurance data'!F51*Demographics!AC51*'Health insurance data'!AK51*'Health insurance data'!AL51</f>
        <v>54082.385107758593</v>
      </c>
      <c r="L51" s="249">
        <f>'Health insurance data'!I51*Demographics!AD51*'Health insurance data'!AO51*'Health insurance data'!AP51</f>
        <v>22633.099502759505</v>
      </c>
      <c r="M51" s="249">
        <f>'Health insurance data'!L51*Demographics!AE51*'Health insurance data'!AW51*'Health insurance data'!AX51</f>
        <v>19777.232643229338</v>
      </c>
      <c r="N51" s="249">
        <f>'Health insurance data'!O51*Demographics!AF51*'Health insurance data'!AS51*'Health insurance data'!AT51</f>
        <v>1362.6799190127488</v>
      </c>
      <c r="O51" s="307">
        <f>Demographics!H51*'Health conditions data'!P51</f>
        <v>76977.957999999999</v>
      </c>
      <c r="P51" s="287">
        <f>'FIM interventions data'!E52+'FIM interventions data'!G52+'FIM interventions data'!I52+'FIM interventions data'!K52</f>
        <v>363500524.55281049</v>
      </c>
      <c r="Q51" s="287">
        <f>'FIM interventions data'!L52+'FIM interventions data'!M52+'FIM interventions data'!N52+'FIM interventions data'!O52</f>
        <v>77382282.3926768</v>
      </c>
      <c r="R51" s="287">
        <f>'FIM interventions data'!P52+'FIM interventions data'!Q52+'FIM interventions data'!R52+'FIM interventions data'!S52</f>
        <v>86755093.566237956</v>
      </c>
      <c r="S51" s="287">
        <f>'FIM interventions data'!T52+'FIM interventions data'!U52+'FIM interventions data'!V52+'FIM interventions data'!W52</f>
        <v>212333004.1669119</v>
      </c>
      <c r="T51" s="288">
        <f>'FIM interventions data'!X52+'FIM interventions data'!Y52+'FIM interventions data'!Z52+'FIM interventions data'!AA52</f>
        <v>5875631.3915879363</v>
      </c>
      <c r="U51" s="287">
        <f>'FIM interventions data'!AB52+'FIM interventions data'!AC52+'FIM interventions data'!AD52+'FIM interventions data'!AE52</f>
        <v>97766601.913006634</v>
      </c>
      <c r="V51" s="287">
        <f>'FIM interventions data'!AF52+'FIM interventions data'!AG52+'FIM interventions data'!AH52+'FIM interventions data'!AI52</f>
        <v>63686118.725653939</v>
      </c>
      <c r="W51" s="287">
        <f>'FIM interventions data'!AJ52+'FIM interventions data'!AK52+'FIM interventions data'!AL52+'FIM interventions data'!AM52</f>
        <v>26652194.780061528</v>
      </c>
      <c r="X51" s="287">
        <f>'FIM interventions data'!AN52+'FIM interventions data'!AO52+'FIM interventions data'!AP52+'FIM interventions data'!AQ52</f>
        <v>23289194.507083431</v>
      </c>
      <c r="Y51" s="288">
        <f>'FIM interventions data'!AR52+'FIM interventions data'!AS52+'FIM interventions data'!AT52+'FIM interventions data'!AU52</f>
        <v>1604659.1683113568</v>
      </c>
      <c r="Z51" s="327">
        <f>'FIM interventions data'!AV52+'FIM interventions data'!AW52+'FIM interventions data'!AX52+'FIM interventions data'!AY52</f>
        <v>90647395.869808003</v>
      </c>
    </row>
    <row r="52" spans="1:35" s="4" customFormat="1">
      <c r="D52" s="217"/>
      <c r="E52" s="218"/>
      <c r="F52" s="219"/>
      <c r="G52" s="219"/>
      <c r="H52" s="219"/>
      <c r="I52" s="219"/>
      <c r="J52" s="219">
        <f>SUM(J2:J51)</f>
        <v>42671681.116176337</v>
      </c>
      <c r="K52" s="219"/>
      <c r="L52" s="219"/>
      <c r="M52" s="219"/>
      <c r="N52" s="219"/>
      <c r="O52" s="219"/>
      <c r="P52" s="236"/>
      <c r="Q52" s="236"/>
      <c r="R52" s="236"/>
      <c r="S52" s="236"/>
      <c r="T52" s="236"/>
      <c r="U52" s="236"/>
      <c r="V52" s="236"/>
      <c r="W52" s="236"/>
      <c r="X52" s="236"/>
      <c r="Y52" s="236"/>
      <c r="Z52" s="236"/>
      <c r="AA52" s="26"/>
      <c r="AB52" s="26"/>
      <c r="AC52" s="26"/>
      <c r="AD52" s="26"/>
      <c r="AE52" s="26"/>
      <c r="AF52" s="26"/>
      <c r="AG52" s="26"/>
      <c r="AH52" s="26"/>
      <c r="AI52" s="26"/>
    </row>
    <row r="53" spans="1:35" s="4" customFormat="1" ht="12.95">
      <c r="E53" s="237"/>
      <c r="F53" s="238"/>
      <c r="G53" s="238"/>
      <c r="H53" s="238"/>
      <c r="I53" s="238"/>
      <c r="J53" s="237"/>
      <c r="K53" s="219"/>
      <c r="L53" s="219"/>
      <c r="M53" s="219"/>
      <c r="N53" s="219"/>
      <c r="O53" s="219"/>
      <c r="Q53" s="236"/>
      <c r="R53" s="236"/>
      <c r="S53" s="236"/>
      <c r="T53" s="236"/>
      <c r="U53" s="236"/>
      <c r="V53" s="236"/>
      <c r="W53" s="236"/>
      <c r="X53" s="236"/>
      <c r="Y53" s="236"/>
      <c r="Z53" s="236"/>
    </row>
    <row r="54" spans="1:35" s="4" customFormat="1" ht="12.95">
      <c r="V54" s="220"/>
      <c r="W54" s="220"/>
      <c r="X54" s="220"/>
      <c r="Y54" s="220"/>
      <c r="Z54" s="220"/>
    </row>
    <row r="55" spans="1:35" s="4" customFormat="1" ht="12.95">
      <c r="V55" s="220"/>
      <c r="W55" s="220"/>
      <c r="X55" s="220"/>
      <c r="Y55" s="220"/>
      <c r="Z55" s="220"/>
    </row>
    <row r="56" spans="1:35" s="4" customFormat="1" ht="12.95">
      <c r="V56" s="220"/>
      <c r="W56" s="220"/>
      <c r="X56" s="220"/>
      <c r="Y56" s="220"/>
      <c r="Z56" s="220"/>
    </row>
    <row r="57" spans="1:35" s="4" customFormat="1" ht="12.95">
      <c r="V57" s="220"/>
      <c r="W57" s="220"/>
      <c r="X57" s="220"/>
      <c r="Y57" s="220"/>
      <c r="Z57" s="220"/>
    </row>
    <row r="58" spans="1:35" s="4" customFormat="1" ht="12.95">
      <c r="V58" s="220"/>
      <c r="W58" s="220"/>
      <c r="X58" s="220"/>
      <c r="Y58" s="220"/>
      <c r="Z58" s="220"/>
    </row>
    <row r="59" spans="1:35" s="4" customFormat="1" ht="12.95">
      <c r="V59" s="220"/>
      <c r="W59" s="220"/>
      <c r="X59" s="220"/>
      <c r="Y59" s="220"/>
      <c r="Z59" s="220"/>
    </row>
    <row r="60" spans="1:35" s="4" customFormat="1" ht="12.95">
      <c r="V60" s="220"/>
      <c r="W60" s="220"/>
      <c r="X60" s="220"/>
      <c r="Y60" s="220"/>
      <c r="Z60" s="220"/>
    </row>
    <row r="61" spans="1:35" s="4" customFormat="1" ht="12.95">
      <c r="V61" s="220"/>
      <c r="W61" s="220"/>
      <c r="X61" s="220"/>
      <c r="Y61" s="220"/>
      <c r="Z61" s="220"/>
    </row>
    <row r="62" spans="1:35" s="4" customFormat="1" ht="12.95">
      <c r="V62" s="220"/>
      <c r="W62" s="220"/>
      <c r="X62" s="220"/>
      <c r="Y62" s="220"/>
      <c r="Z62" s="220"/>
    </row>
    <row r="63" spans="1:35" s="4" customFormat="1" ht="12.95">
      <c r="V63" s="220"/>
      <c r="W63" s="220"/>
      <c r="X63" s="220"/>
      <c r="Y63" s="220"/>
      <c r="Z63" s="220"/>
    </row>
    <row r="64" spans="1:35" s="4" customFormat="1" ht="12.95">
      <c r="V64" s="220"/>
      <c r="W64" s="220"/>
      <c r="X64" s="220"/>
      <c r="Y64" s="220"/>
      <c r="Z64" s="220"/>
    </row>
    <row r="65" spans="22:26" s="4" customFormat="1" ht="12.95">
      <c r="V65" s="220"/>
      <c r="W65" s="220"/>
      <c r="X65" s="220"/>
      <c r="Y65" s="220"/>
      <c r="Z65" s="220"/>
    </row>
    <row r="66" spans="22:26" s="4" customFormat="1" ht="12.95">
      <c r="V66" s="220"/>
      <c r="W66" s="220"/>
      <c r="X66" s="220"/>
      <c r="Y66" s="220"/>
      <c r="Z66" s="220"/>
    </row>
    <row r="67" spans="22:26" s="4" customFormat="1" ht="12.95">
      <c r="V67" s="220"/>
      <c r="W67" s="220"/>
      <c r="X67" s="220"/>
      <c r="Y67" s="220"/>
      <c r="Z67" s="220"/>
    </row>
    <row r="68" spans="22:26" s="4" customFormat="1" ht="12.95">
      <c r="V68" s="220"/>
      <c r="W68" s="220"/>
      <c r="X68" s="220"/>
      <c r="Y68" s="220"/>
      <c r="Z68" s="220"/>
    </row>
    <row r="69" spans="22:26" s="4" customFormat="1" ht="12.95">
      <c r="V69" s="220"/>
      <c r="W69" s="220"/>
      <c r="X69" s="220"/>
      <c r="Y69" s="220"/>
      <c r="Z69" s="220"/>
    </row>
    <row r="70" spans="22:26" s="4" customFormat="1" ht="12.95">
      <c r="V70" s="220"/>
      <c r="W70" s="220"/>
      <c r="X70" s="220"/>
      <c r="Y70" s="220"/>
      <c r="Z70" s="220"/>
    </row>
    <row r="71" spans="22:26" s="4" customFormat="1" ht="12.95">
      <c r="V71" s="220"/>
      <c r="W71" s="220"/>
      <c r="X71" s="220"/>
      <c r="Y71" s="220"/>
      <c r="Z71" s="220"/>
    </row>
    <row r="72" spans="22:26" s="4" customFormat="1" ht="12.95">
      <c r="V72" s="220"/>
      <c r="W72" s="220"/>
      <c r="X72" s="220"/>
      <c r="Y72" s="220"/>
      <c r="Z72" s="220"/>
    </row>
    <row r="73" spans="22:26" s="4" customFormat="1" ht="12.95">
      <c r="V73" s="220"/>
      <c r="W73" s="220"/>
      <c r="X73" s="220"/>
      <c r="Y73" s="220"/>
      <c r="Z73" s="220"/>
    </row>
    <row r="74" spans="22:26" s="4" customFormat="1" ht="12.95">
      <c r="V74" s="220"/>
      <c r="W74" s="220"/>
      <c r="X74" s="220"/>
      <c r="Y74" s="220"/>
      <c r="Z74" s="220"/>
    </row>
    <row r="75" spans="22:26" s="4" customFormat="1" ht="12.95">
      <c r="V75" s="220"/>
      <c r="W75" s="220"/>
      <c r="X75" s="220"/>
      <c r="Y75" s="220"/>
      <c r="Z75" s="220"/>
    </row>
    <row r="76" spans="22:26" s="4" customFormat="1" ht="12.95">
      <c r="V76" s="220"/>
      <c r="W76" s="220"/>
      <c r="X76" s="220"/>
      <c r="Y76" s="220"/>
      <c r="Z76" s="220"/>
    </row>
    <row r="77" spans="22:26" s="4" customFormat="1" ht="12.95">
      <c r="V77" s="220"/>
      <c r="W77" s="220"/>
      <c r="X77" s="220"/>
      <c r="Y77" s="220"/>
      <c r="Z77" s="220"/>
    </row>
    <row r="78" spans="22:26" s="4" customFormat="1" ht="12.95">
      <c r="V78" s="220"/>
      <c r="W78" s="220"/>
      <c r="X78" s="220"/>
      <c r="Y78" s="220"/>
      <c r="Z78" s="220"/>
    </row>
    <row r="79" spans="22:26" s="4" customFormat="1" ht="12.95">
      <c r="V79" s="220"/>
      <c r="W79" s="220"/>
      <c r="X79" s="220"/>
      <c r="Y79" s="220"/>
      <c r="Z79" s="220"/>
    </row>
    <row r="80" spans="22:26" s="4" customFormat="1" ht="12.95">
      <c r="V80" s="220"/>
      <c r="W80" s="220"/>
      <c r="X80" s="220"/>
      <c r="Y80" s="220"/>
      <c r="Z80" s="220"/>
    </row>
    <row r="81" spans="22:26" s="4" customFormat="1" ht="12.95">
      <c r="V81" s="220"/>
      <c r="W81" s="220"/>
      <c r="X81" s="220"/>
      <c r="Y81" s="220"/>
      <c r="Z81" s="220"/>
    </row>
    <row r="82" spans="22:26" s="4" customFormat="1" ht="12.95">
      <c r="V82" s="220"/>
      <c r="W82" s="220"/>
      <c r="X82" s="220"/>
      <c r="Y82" s="220"/>
      <c r="Z82" s="220"/>
    </row>
    <row r="83" spans="22:26" s="4" customFormat="1" ht="12.95">
      <c r="V83" s="220"/>
      <c r="W83" s="220"/>
      <c r="X83" s="220"/>
      <c r="Y83" s="220"/>
      <c r="Z83" s="220"/>
    </row>
    <row r="84" spans="22:26" s="4" customFormat="1" ht="12.95">
      <c r="V84" s="220"/>
      <c r="W84" s="220"/>
      <c r="X84" s="220"/>
      <c r="Y84" s="220"/>
      <c r="Z84" s="220"/>
    </row>
    <row r="85" spans="22:26" s="4" customFormat="1" ht="12.95">
      <c r="V85" s="220"/>
      <c r="W85" s="220"/>
      <c r="X85" s="220"/>
      <c r="Y85" s="220"/>
      <c r="Z85" s="220"/>
    </row>
    <row r="86" spans="22:26" s="4" customFormat="1" ht="12.95">
      <c r="V86" s="220"/>
      <c r="W86" s="220"/>
      <c r="X86" s="220"/>
      <c r="Y86" s="220"/>
      <c r="Z86" s="220"/>
    </row>
    <row r="87" spans="22:26" s="4" customFormat="1" ht="12.95">
      <c r="V87" s="220"/>
      <c r="W87" s="220"/>
      <c r="X87" s="220"/>
      <c r="Y87" s="220"/>
      <c r="Z87" s="220"/>
    </row>
    <row r="88" spans="22:26" s="4" customFormat="1" ht="12.95">
      <c r="V88" s="220"/>
      <c r="W88" s="220"/>
      <c r="X88" s="220"/>
      <c r="Y88" s="220"/>
      <c r="Z88" s="220"/>
    </row>
    <row r="89" spans="22:26" s="4" customFormat="1" ht="12.95">
      <c r="V89" s="220"/>
      <c r="W89" s="220"/>
      <c r="X89" s="220"/>
      <c r="Y89" s="220"/>
      <c r="Z89" s="220"/>
    </row>
    <row r="90" spans="22:26" s="4" customFormat="1" ht="12.95">
      <c r="V90" s="220"/>
      <c r="W90" s="220"/>
      <c r="X90" s="220"/>
      <c r="Y90" s="220"/>
      <c r="Z90" s="220"/>
    </row>
    <row r="91" spans="22:26" s="4" customFormat="1" ht="12.95">
      <c r="V91" s="220"/>
      <c r="W91" s="220"/>
      <c r="X91" s="220"/>
      <c r="Y91" s="220"/>
      <c r="Z91" s="220"/>
    </row>
    <row r="92" spans="22:26" s="4" customFormat="1" ht="12.95">
      <c r="V92" s="220"/>
      <c r="W92" s="220"/>
      <c r="X92" s="220"/>
      <c r="Y92" s="220"/>
      <c r="Z92" s="220"/>
    </row>
    <row r="93" spans="22:26" s="4" customFormat="1" ht="12.95">
      <c r="V93" s="220"/>
      <c r="W93" s="220"/>
      <c r="X93" s="220"/>
      <c r="Y93" s="220"/>
      <c r="Z93" s="220"/>
    </row>
    <row r="94" spans="22:26" s="4" customFormat="1" ht="12.95">
      <c r="V94" s="220"/>
      <c r="W94" s="220"/>
      <c r="X94" s="220"/>
      <c r="Y94" s="220"/>
      <c r="Z94" s="220"/>
    </row>
    <row r="95" spans="22:26" s="4" customFormat="1" ht="12.95">
      <c r="V95" s="220"/>
      <c r="W95" s="220"/>
      <c r="X95" s="220"/>
      <c r="Y95" s="220"/>
      <c r="Z95" s="220"/>
    </row>
    <row r="96" spans="22:26" s="4" customFormat="1" ht="12.95">
      <c r="V96" s="220"/>
      <c r="W96" s="220"/>
      <c r="X96" s="220"/>
      <c r="Y96" s="220"/>
      <c r="Z96" s="220"/>
    </row>
    <row r="97" spans="22:26" s="4" customFormat="1" ht="12.95">
      <c r="V97" s="220"/>
      <c r="W97" s="220"/>
      <c r="X97" s="220"/>
      <c r="Y97" s="220"/>
      <c r="Z97" s="220"/>
    </row>
    <row r="98" spans="22:26" s="4" customFormat="1" ht="12.95">
      <c r="V98" s="220"/>
      <c r="W98" s="220"/>
      <c r="X98" s="220"/>
      <c r="Y98" s="220"/>
      <c r="Z98" s="220"/>
    </row>
    <row r="99" spans="22:26" s="4" customFormat="1" ht="12.95">
      <c r="V99" s="220"/>
      <c r="W99" s="220"/>
      <c r="X99" s="220"/>
      <c r="Y99" s="220"/>
      <c r="Z99" s="220"/>
    </row>
    <row r="100" spans="22:26" s="4" customFormat="1" ht="12.95">
      <c r="V100" s="220"/>
      <c r="W100" s="220"/>
      <c r="X100" s="220"/>
      <c r="Y100" s="220"/>
      <c r="Z100" s="220"/>
    </row>
    <row r="101" spans="22:26" s="4" customFormat="1" ht="12.95">
      <c r="V101" s="220"/>
      <c r="W101" s="220"/>
      <c r="X101" s="220"/>
      <c r="Y101" s="220"/>
      <c r="Z101" s="220"/>
    </row>
    <row r="102" spans="22:26" s="4" customFormat="1" ht="12.95">
      <c r="V102" s="220"/>
      <c r="W102" s="220"/>
      <c r="X102" s="220"/>
      <c r="Y102" s="220"/>
      <c r="Z102" s="220"/>
    </row>
    <row r="103" spans="22:26" s="4" customFormat="1" ht="12.95">
      <c r="V103" s="220"/>
      <c r="W103" s="220"/>
      <c r="X103" s="220"/>
      <c r="Y103" s="220"/>
      <c r="Z103" s="220"/>
    </row>
    <row r="104" spans="22:26" s="4" customFormat="1" ht="12.95">
      <c r="V104" s="220"/>
      <c r="W104" s="220"/>
      <c r="X104" s="220"/>
      <c r="Y104" s="220"/>
      <c r="Z104" s="220"/>
    </row>
    <row r="105" spans="22:26" s="4" customFormat="1" ht="12.95">
      <c r="V105" s="220"/>
      <c r="W105" s="220"/>
      <c r="X105" s="220"/>
      <c r="Y105" s="220"/>
      <c r="Z105" s="220"/>
    </row>
    <row r="106" spans="22:26" s="4" customFormat="1" ht="12.95">
      <c r="V106" s="220"/>
      <c r="W106" s="220"/>
      <c r="X106" s="220"/>
      <c r="Y106" s="220"/>
      <c r="Z106" s="220"/>
    </row>
    <row r="107" spans="22:26" s="4" customFormat="1" ht="12.95">
      <c r="V107" s="220"/>
      <c r="W107" s="220"/>
      <c r="X107" s="220"/>
      <c r="Y107" s="220"/>
      <c r="Z107" s="220"/>
    </row>
    <row r="108" spans="22:26" s="4" customFormat="1" ht="12.95">
      <c r="V108" s="220"/>
      <c r="W108" s="220"/>
      <c r="X108" s="220"/>
      <c r="Y108" s="220"/>
      <c r="Z108" s="220"/>
    </row>
    <row r="109" spans="22:26" s="4" customFormat="1" ht="12.95">
      <c r="V109" s="220"/>
      <c r="W109" s="220"/>
      <c r="X109" s="220"/>
      <c r="Y109" s="220"/>
      <c r="Z109" s="220"/>
    </row>
    <row r="110" spans="22:26" s="4" customFormat="1" ht="12.95">
      <c r="V110" s="220"/>
      <c r="W110" s="220"/>
      <c r="X110" s="220"/>
      <c r="Y110" s="220"/>
      <c r="Z110" s="220"/>
    </row>
    <row r="111" spans="22:26" s="4" customFormat="1" ht="12.95">
      <c r="V111" s="220"/>
      <c r="W111" s="220"/>
      <c r="X111" s="220"/>
      <c r="Y111" s="220"/>
      <c r="Z111" s="220"/>
    </row>
    <row r="112" spans="22:26" s="4" customFormat="1" ht="12.95">
      <c r="V112" s="220"/>
      <c r="W112" s="220"/>
      <c r="X112" s="220"/>
      <c r="Y112" s="220"/>
      <c r="Z112" s="220"/>
    </row>
    <row r="113" spans="22:26" s="4" customFormat="1" ht="12.95">
      <c r="V113" s="220"/>
      <c r="W113" s="220"/>
      <c r="X113" s="220"/>
      <c r="Y113" s="220"/>
      <c r="Z113" s="220"/>
    </row>
    <row r="114" spans="22:26" s="4" customFormat="1" ht="12.95">
      <c r="V114" s="220"/>
      <c r="W114" s="220"/>
      <c r="X114" s="220"/>
      <c r="Y114" s="220"/>
      <c r="Z114" s="220"/>
    </row>
    <row r="115" spans="22:26" s="4" customFormat="1" ht="12.95">
      <c r="V115" s="220"/>
      <c r="W115" s="220"/>
      <c r="X115" s="220"/>
      <c r="Y115" s="220"/>
      <c r="Z115" s="220"/>
    </row>
    <row r="116" spans="22:26" s="4" customFormat="1" ht="12.95">
      <c r="V116" s="220"/>
      <c r="W116" s="220"/>
      <c r="X116" s="220"/>
      <c r="Y116" s="220"/>
      <c r="Z116" s="220"/>
    </row>
    <row r="117" spans="22:26" s="4" customFormat="1" ht="12.95">
      <c r="V117" s="220"/>
      <c r="W117" s="220"/>
      <c r="X117" s="220"/>
      <c r="Y117" s="220"/>
      <c r="Z117" s="220"/>
    </row>
    <row r="118" spans="22:26" s="4" customFormat="1" ht="12.95">
      <c r="V118" s="220"/>
      <c r="W118" s="220"/>
      <c r="X118" s="220"/>
      <c r="Y118" s="220"/>
      <c r="Z118" s="220"/>
    </row>
    <row r="119" spans="22:26" s="4" customFormat="1" ht="12.95">
      <c r="V119" s="220"/>
      <c r="W119" s="220"/>
      <c r="X119" s="220"/>
      <c r="Y119" s="220"/>
      <c r="Z119" s="220"/>
    </row>
    <row r="120" spans="22:26" s="4" customFormat="1" ht="12.95">
      <c r="V120" s="220"/>
      <c r="W120" s="220"/>
      <c r="X120" s="220"/>
      <c r="Y120" s="220"/>
      <c r="Z120" s="220"/>
    </row>
    <row r="121" spans="22:26" s="4" customFormat="1" ht="12.95">
      <c r="V121" s="220"/>
      <c r="W121" s="220"/>
      <c r="X121" s="220"/>
      <c r="Y121" s="220"/>
      <c r="Z121" s="220"/>
    </row>
    <row r="122" spans="22:26" s="4" customFormat="1" ht="12.95">
      <c r="V122" s="220"/>
      <c r="W122" s="220"/>
      <c r="X122" s="220"/>
      <c r="Y122" s="220"/>
      <c r="Z122" s="220"/>
    </row>
    <row r="123" spans="22:26" s="4" customFormat="1" ht="12.95">
      <c r="V123" s="220"/>
      <c r="W123" s="220"/>
      <c r="X123" s="220"/>
      <c r="Y123" s="220"/>
      <c r="Z123" s="220"/>
    </row>
    <row r="124" spans="22:26" s="4" customFormat="1" ht="12.95">
      <c r="V124" s="220"/>
      <c r="W124" s="220"/>
      <c r="X124" s="220"/>
      <c r="Y124" s="220"/>
      <c r="Z124" s="220"/>
    </row>
    <row r="125" spans="22:26" s="4" customFormat="1" ht="12.95">
      <c r="V125" s="220"/>
      <c r="W125" s="220"/>
      <c r="X125" s="220"/>
      <c r="Y125" s="220"/>
      <c r="Z125" s="220"/>
    </row>
    <row r="126" spans="22:26" s="4" customFormat="1" ht="12.95">
      <c r="V126" s="220"/>
      <c r="W126" s="220"/>
      <c r="X126" s="220"/>
      <c r="Y126" s="220"/>
      <c r="Z126" s="220"/>
    </row>
    <row r="127" spans="22:26" s="4" customFormat="1" ht="12.95">
      <c r="V127" s="220"/>
      <c r="W127" s="220"/>
      <c r="X127" s="220"/>
      <c r="Y127" s="220"/>
      <c r="Z127" s="220"/>
    </row>
    <row r="128" spans="22:26" s="4" customFormat="1" ht="12.95">
      <c r="V128" s="220"/>
      <c r="W128" s="220"/>
      <c r="X128" s="220"/>
      <c r="Y128" s="220"/>
      <c r="Z128" s="220"/>
    </row>
    <row r="129" spans="22:26" s="4" customFormat="1" ht="12.95">
      <c r="V129" s="220"/>
      <c r="W129" s="220"/>
      <c r="X129" s="220"/>
      <c r="Y129" s="220"/>
      <c r="Z129" s="220"/>
    </row>
    <row r="130" spans="22:26" s="4" customFormat="1" ht="12.95">
      <c r="V130" s="220"/>
      <c r="W130" s="220"/>
      <c r="X130" s="220"/>
      <c r="Y130" s="220"/>
      <c r="Z130" s="220"/>
    </row>
    <row r="131" spans="22:26" s="4" customFormat="1" ht="12.95">
      <c r="V131" s="220"/>
      <c r="W131" s="220"/>
      <c r="X131" s="220"/>
      <c r="Y131" s="220"/>
      <c r="Z131" s="220"/>
    </row>
    <row r="132" spans="22:26" s="4" customFormat="1" ht="12.95">
      <c r="V132" s="220"/>
      <c r="W132" s="220"/>
      <c r="X132" s="220"/>
      <c r="Y132" s="220"/>
      <c r="Z132" s="220"/>
    </row>
    <row r="133" spans="22:26" s="4" customFormat="1" ht="12.95">
      <c r="V133" s="220"/>
      <c r="W133" s="220"/>
      <c r="X133" s="220"/>
      <c r="Y133" s="220"/>
      <c r="Z133" s="220"/>
    </row>
    <row r="134" spans="22:26" s="4" customFormat="1" ht="12.95">
      <c r="V134" s="220"/>
      <c r="W134" s="220"/>
      <c r="X134" s="220"/>
      <c r="Y134" s="220"/>
      <c r="Z134" s="220"/>
    </row>
    <row r="135" spans="22:26" s="4" customFormat="1" ht="12.95">
      <c r="V135" s="220"/>
      <c r="W135" s="220"/>
      <c r="X135" s="220"/>
      <c r="Y135" s="220"/>
      <c r="Z135" s="220"/>
    </row>
    <row r="136" spans="22:26" s="4" customFormat="1" ht="12.95">
      <c r="V136" s="220"/>
      <c r="W136" s="220"/>
      <c r="X136" s="220"/>
      <c r="Y136" s="220"/>
      <c r="Z136" s="220"/>
    </row>
    <row r="137" spans="22:26" s="4" customFormat="1" ht="12.95">
      <c r="V137" s="220"/>
      <c r="W137" s="220"/>
      <c r="X137" s="220"/>
      <c r="Y137" s="220"/>
      <c r="Z137" s="220"/>
    </row>
    <row r="138" spans="22:26" s="4" customFormat="1" ht="12.95">
      <c r="V138" s="220"/>
      <c r="W138" s="220"/>
      <c r="X138" s="220"/>
      <c r="Y138" s="220"/>
      <c r="Z138" s="220"/>
    </row>
    <row r="139" spans="22:26" s="4" customFormat="1" ht="12.95">
      <c r="V139" s="220"/>
      <c r="W139" s="220"/>
      <c r="X139" s="220"/>
      <c r="Y139" s="220"/>
      <c r="Z139" s="220"/>
    </row>
    <row r="140" spans="22:26" s="4" customFormat="1" ht="12.95">
      <c r="V140" s="220"/>
      <c r="W140" s="220"/>
      <c r="X140" s="220"/>
      <c r="Y140" s="220"/>
      <c r="Z140" s="220"/>
    </row>
    <row r="141" spans="22:26" s="4" customFormat="1" ht="12.95">
      <c r="V141" s="220"/>
      <c r="W141" s="220"/>
      <c r="X141" s="220"/>
      <c r="Y141" s="220"/>
      <c r="Z141" s="220"/>
    </row>
    <row r="142" spans="22:26" s="4" customFormat="1" ht="12.95">
      <c r="V142" s="220"/>
      <c r="W142" s="220"/>
      <c r="X142" s="220"/>
      <c r="Y142" s="220"/>
      <c r="Z142" s="220"/>
    </row>
    <row r="143" spans="22:26" s="4" customFormat="1" ht="12.95">
      <c r="V143" s="220"/>
      <c r="W143" s="220"/>
      <c r="X143" s="220"/>
      <c r="Y143" s="220"/>
      <c r="Z143" s="220"/>
    </row>
    <row r="144" spans="22:26" s="4" customFormat="1" ht="12.95">
      <c r="V144" s="220"/>
      <c r="W144" s="220"/>
      <c r="X144" s="220"/>
      <c r="Y144" s="220"/>
      <c r="Z144" s="220"/>
    </row>
    <row r="145" spans="1:26" s="4" customFormat="1" ht="12.95">
      <c r="V145" s="220"/>
      <c r="W145" s="220"/>
      <c r="X145" s="220"/>
      <c r="Y145" s="220"/>
      <c r="Z145" s="220"/>
    </row>
    <row r="146" spans="1:26" s="4" customFormat="1" ht="12.95">
      <c r="V146" s="220"/>
      <c r="W146" s="220"/>
      <c r="X146" s="220"/>
      <c r="Y146" s="220"/>
      <c r="Z146" s="220"/>
    </row>
    <row r="147" spans="1:26">
      <c r="A147" s="4"/>
      <c r="B147" s="4"/>
      <c r="C147" s="4"/>
      <c r="D147" s="4"/>
    </row>
    <row r="148" spans="1:26">
      <c r="A148" s="4"/>
      <c r="B148" s="4"/>
      <c r="C148" s="4"/>
      <c r="D148" s="4"/>
    </row>
    <row r="149" spans="1:26">
      <c r="A149" s="4"/>
      <c r="B149" s="4"/>
      <c r="C149" s="4"/>
      <c r="D149" s="4"/>
    </row>
    <row r="150" spans="1:26">
      <c r="A150" s="4"/>
      <c r="B150" s="4"/>
      <c r="C150" s="4"/>
      <c r="D150" s="4"/>
    </row>
    <row r="151" spans="1:26">
      <c r="A151" s="4"/>
      <c r="B151" s="4"/>
      <c r="C151" s="4"/>
      <c r="D151" s="4"/>
    </row>
    <row r="152" spans="1:26">
      <c r="A152" s="4"/>
      <c r="B152" s="4"/>
      <c r="C152" s="4"/>
      <c r="D152" s="4"/>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1738D-FD02-4B07-8D67-F5DDB7558401}">
  <sheetPr>
    <tabColor theme="0"/>
  </sheetPr>
  <dimension ref="A1:ES338"/>
  <sheetViews>
    <sheetView zoomScale="70" zoomScaleNormal="70" workbookViewId="0">
      <pane xSplit="4" ySplit="1" topLeftCell="AN7" activePane="bottomRight" state="frozen"/>
      <selection pane="bottomRight" activeCell="AN7" sqref="AN7"/>
      <selection pane="bottomLeft" activeCell="A2" sqref="A2"/>
      <selection pane="topRight" activeCell="E1" sqref="E1"/>
    </sheetView>
  </sheetViews>
  <sheetFormatPr defaultColWidth="11.42578125" defaultRowHeight="14.25" outlineLevelCol="1"/>
  <cols>
    <col min="1" max="1" width="7.42578125" style="1" customWidth="1"/>
    <col min="2" max="2" width="15.42578125" style="1" customWidth="1"/>
    <col min="3" max="3" width="13.42578125" style="1" customWidth="1"/>
    <col min="4" max="4" width="36.140625" style="1" hidden="1" customWidth="1" outlineLevel="1"/>
    <col min="5" max="5" width="27.42578125" customWidth="1" collapsed="1"/>
    <col min="6" max="6" width="28.140625" customWidth="1"/>
    <col min="7" max="7" width="34.42578125" hidden="1" customWidth="1" outlineLevel="1"/>
    <col min="8" max="8" width="26.140625" bestFit="1" customWidth="1" collapsed="1"/>
    <col min="9" max="9" width="26.140625" style="23" bestFit="1" customWidth="1"/>
    <col min="10" max="10" width="28.140625" hidden="1" customWidth="1" outlineLevel="1"/>
    <col min="11" max="11" width="28.140625" customWidth="1" collapsed="1"/>
    <col min="12" max="12" width="25.42578125" style="23" customWidth="1"/>
    <col min="13" max="13" width="31.42578125" hidden="1" customWidth="1" outlineLevel="1"/>
    <col min="14" max="14" width="28.140625" customWidth="1" collapsed="1"/>
    <col min="15" max="15" width="25.42578125" style="23" customWidth="1"/>
    <col min="16" max="16" width="15.42578125" style="26" hidden="1" customWidth="1" outlineLevel="1"/>
    <col min="17" max="17" width="15.42578125" style="26" customWidth="1" collapsed="1"/>
    <col min="18" max="18" width="22.28515625" style="26" customWidth="1"/>
    <col min="19" max="19" width="30.42578125" style="26" customWidth="1"/>
    <col min="20" max="20" width="15.42578125" style="26" hidden="1" customWidth="1" outlineLevel="1"/>
    <col min="21" max="21" width="15.42578125" style="26" customWidth="1" collapsed="1"/>
    <col min="22" max="22" width="22.28515625" style="26" customWidth="1"/>
    <col min="23" max="23" width="30.42578125" style="26" customWidth="1"/>
    <col min="24" max="24" width="22.42578125" style="1" customWidth="1"/>
    <col min="25" max="25" width="15.42578125" style="26" hidden="1" customWidth="1" outlineLevel="1"/>
    <col min="26" max="26" width="15.42578125" style="26" customWidth="1" collapsed="1"/>
    <col min="27" max="27" width="22.28515625" style="26" customWidth="1"/>
    <col min="28" max="28" width="30.42578125" style="26" customWidth="1"/>
    <col min="29" max="29" width="22.42578125" style="1" customWidth="1"/>
    <col min="30" max="30" width="15.42578125" style="26" hidden="1" customWidth="1" outlineLevel="1"/>
    <col min="31" max="31" width="15.42578125" style="26" customWidth="1" collapsed="1"/>
    <col min="32" max="32" width="22.28515625" style="26" customWidth="1"/>
    <col min="33" max="33" width="30.42578125" style="26" customWidth="1"/>
    <col min="34" max="34" width="22.42578125" style="1" customWidth="1"/>
    <col min="35" max="35" width="15.42578125" style="26" hidden="1" customWidth="1" outlineLevel="1"/>
    <col min="36" max="36" width="15.42578125" style="26" customWidth="1" collapsed="1"/>
    <col min="37" max="37" width="22.28515625" style="26" customWidth="1"/>
    <col min="38" max="38" width="30.42578125" style="26" customWidth="1"/>
    <col min="39" max="39" width="15.42578125" style="26" hidden="1" customWidth="1" outlineLevel="1"/>
    <col min="40" max="40" width="15.42578125" style="26" customWidth="1" collapsed="1"/>
    <col min="41" max="41" width="22.28515625" style="26" customWidth="1"/>
    <col min="42" max="42" width="30.42578125" style="26" customWidth="1"/>
    <col min="43" max="43" width="15.42578125" style="26" hidden="1" customWidth="1" outlineLevel="1"/>
    <col min="44" max="44" width="15.42578125" style="26" customWidth="1" collapsed="1"/>
    <col min="45" max="45" width="22.28515625" style="26" customWidth="1"/>
    <col min="46" max="46" width="33.5703125" style="26" customWidth="1"/>
    <col min="47" max="47" width="15.42578125" style="26" hidden="1" customWidth="1" outlineLevel="1"/>
    <col min="48" max="48" width="15.42578125" style="26" customWidth="1" collapsed="1"/>
    <col min="49" max="49" width="22.28515625" style="26" customWidth="1"/>
    <col min="50" max="50" width="30.42578125" style="26" customWidth="1"/>
    <col min="51" max="149" width="11.42578125" style="26"/>
  </cols>
  <sheetData>
    <row r="1" spans="1:149" ht="44.45" customHeight="1">
      <c r="A1" s="5" t="s">
        <v>278</v>
      </c>
      <c r="B1" s="6" t="s">
        <v>279</v>
      </c>
      <c r="C1" s="6" t="s">
        <v>280</v>
      </c>
      <c r="D1" s="6" t="s">
        <v>282</v>
      </c>
      <c r="E1" s="158" t="s">
        <v>602</v>
      </c>
      <c r="F1" s="19" t="s">
        <v>603</v>
      </c>
      <c r="G1" s="6" t="s">
        <v>282</v>
      </c>
      <c r="H1" s="7" t="s">
        <v>604</v>
      </c>
      <c r="I1" s="19" t="s">
        <v>605</v>
      </c>
      <c r="J1" s="7" t="s">
        <v>606</v>
      </c>
      <c r="K1" s="7" t="s">
        <v>607</v>
      </c>
      <c r="L1" s="241" t="s">
        <v>608</v>
      </c>
      <c r="M1" s="6" t="s">
        <v>282</v>
      </c>
      <c r="N1" s="7" t="s">
        <v>609</v>
      </c>
      <c r="O1" s="19" t="s">
        <v>610</v>
      </c>
      <c r="P1" s="152" t="s">
        <v>282</v>
      </c>
      <c r="Q1" s="6" t="s">
        <v>611</v>
      </c>
      <c r="R1" s="109" t="s">
        <v>612</v>
      </c>
      <c r="S1" s="109" t="s">
        <v>613</v>
      </c>
      <c r="T1" s="6" t="s">
        <v>282</v>
      </c>
      <c r="U1" s="6" t="s">
        <v>611</v>
      </c>
      <c r="V1" s="109" t="s">
        <v>614</v>
      </c>
      <c r="W1" s="109" t="s">
        <v>615</v>
      </c>
      <c r="X1" s="19" t="s">
        <v>616</v>
      </c>
      <c r="Y1" s="6" t="s">
        <v>282</v>
      </c>
      <c r="Z1" s="6" t="s">
        <v>611</v>
      </c>
      <c r="AA1" s="109" t="s">
        <v>617</v>
      </c>
      <c r="AB1" s="109" t="s">
        <v>618</v>
      </c>
      <c r="AC1" s="19" t="s">
        <v>619</v>
      </c>
      <c r="AD1" s="6" t="s">
        <v>282</v>
      </c>
      <c r="AE1" s="6" t="s">
        <v>611</v>
      </c>
      <c r="AF1" s="109" t="s">
        <v>620</v>
      </c>
      <c r="AG1" s="109" t="s">
        <v>621</v>
      </c>
      <c r="AH1" s="110" t="s">
        <v>622</v>
      </c>
      <c r="AI1" s="6" t="s">
        <v>282</v>
      </c>
      <c r="AJ1" s="5" t="s">
        <v>611</v>
      </c>
      <c r="AK1" s="7" t="s">
        <v>623</v>
      </c>
      <c r="AL1" s="7" t="s">
        <v>624</v>
      </c>
      <c r="AM1" s="6" t="s">
        <v>282</v>
      </c>
      <c r="AN1" s="6" t="s">
        <v>611</v>
      </c>
      <c r="AO1" s="7" t="s">
        <v>625</v>
      </c>
      <c r="AP1" s="7" t="s">
        <v>626</v>
      </c>
      <c r="AQ1" s="6" t="s">
        <v>282</v>
      </c>
      <c r="AR1" s="6" t="s">
        <v>611</v>
      </c>
      <c r="AS1" s="7" t="s">
        <v>627</v>
      </c>
      <c r="AT1" s="7" t="s">
        <v>628</v>
      </c>
      <c r="AU1" s="6" t="s">
        <v>282</v>
      </c>
      <c r="AV1" s="6" t="s">
        <v>611</v>
      </c>
      <c r="AW1" s="7" t="s">
        <v>629</v>
      </c>
      <c r="AX1" s="18" t="s">
        <v>630</v>
      </c>
    </row>
    <row r="2" spans="1:149" s="1" customFormat="1">
      <c r="A2" s="9">
        <v>1</v>
      </c>
      <c r="B2" s="1" t="s">
        <v>304</v>
      </c>
      <c r="C2" s="1" t="s">
        <v>305</v>
      </c>
      <c r="D2" s="119" t="s">
        <v>313</v>
      </c>
      <c r="E2" s="9">
        <v>0.20699999999999999</v>
      </c>
      <c r="F2" s="118">
        <f>E2*Demographics!$H2</f>
        <v>1067643.693</v>
      </c>
      <c r="G2" s="24" t="s">
        <v>631</v>
      </c>
      <c r="H2" s="1">
        <v>0.16300000000000001</v>
      </c>
      <c r="I2" s="118">
        <f>H2*Demographics!$H2</f>
        <v>840704.93700000003</v>
      </c>
      <c r="J2" s="65" t="s">
        <v>632</v>
      </c>
      <c r="K2" s="1">
        <v>0.71</v>
      </c>
      <c r="L2" s="118">
        <f>K2*Demographics!$H2</f>
        <v>3661966.29</v>
      </c>
      <c r="M2" s="24" t="s">
        <v>631</v>
      </c>
      <c r="N2" s="1">
        <v>2.1000000000000001E-2</v>
      </c>
      <c r="O2" s="118">
        <f>N2*Demographics!$H2</f>
        <v>108311.679</v>
      </c>
      <c r="P2" s="119" t="s">
        <v>313</v>
      </c>
      <c r="Q2">
        <v>489</v>
      </c>
      <c r="R2" s="108">
        <v>0.58823529411764697</v>
      </c>
      <c r="S2" s="108">
        <v>0.94339622641509402</v>
      </c>
      <c r="T2" s="119" t="s">
        <v>313</v>
      </c>
      <c r="U2">
        <v>1494</v>
      </c>
      <c r="V2" s="108">
        <v>0.61904761904761896</v>
      </c>
      <c r="W2" s="108">
        <v>0.92857142857142905</v>
      </c>
      <c r="X2" s="118">
        <f>V2*W2*Demographics!$H2</f>
        <v>2964799.7653061235</v>
      </c>
      <c r="Y2" s="119" t="s">
        <v>313</v>
      </c>
      <c r="Z2">
        <v>378</v>
      </c>
      <c r="AA2" s="108">
        <v>0.4</v>
      </c>
      <c r="AB2" s="108">
        <v>0.91666666666666696</v>
      </c>
      <c r="AC2" s="118">
        <f>AA2*AB2*Demographics!$H2</f>
        <v>1891156.3000000007</v>
      </c>
      <c r="AD2" s="119" t="s">
        <v>313</v>
      </c>
      <c r="AE2">
        <v>2112</v>
      </c>
      <c r="AF2" s="108">
        <v>0.43262411347517699</v>
      </c>
      <c r="AG2" s="108">
        <v>0.89051094890510996</v>
      </c>
      <c r="AH2" s="178">
        <f>AF2*AG2*Demographics!$H2</f>
        <v>1987037.1153905881</v>
      </c>
      <c r="AI2" s="119" t="s">
        <v>313</v>
      </c>
      <c r="AJ2" s="76">
        <v>153</v>
      </c>
      <c r="AK2" s="108">
        <v>0.69333333333333302</v>
      </c>
      <c r="AL2" s="108">
        <v>0.94230769230769196</v>
      </c>
      <c r="AM2" s="119" t="s">
        <v>313</v>
      </c>
      <c r="AN2">
        <v>417</v>
      </c>
      <c r="AO2" s="108">
        <v>0.93333333333333302</v>
      </c>
      <c r="AP2" s="108">
        <v>1</v>
      </c>
      <c r="AQ2" s="119" t="s">
        <v>313</v>
      </c>
      <c r="AR2" t="s">
        <v>633</v>
      </c>
      <c r="AS2" s="108">
        <v>0.64468864468864495</v>
      </c>
      <c r="AT2" s="108">
        <v>0.96022727272727304</v>
      </c>
      <c r="AU2" s="119" t="s">
        <v>313</v>
      </c>
      <c r="AV2">
        <v>226</v>
      </c>
      <c r="AW2" s="108">
        <v>0.53271028037383195</v>
      </c>
      <c r="AX2" s="131">
        <v>0.929824561403509</v>
      </c>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row>
    <row r="3" spans="1:149" s="1" customFormat="1">
      <c r="A3" s="9">
        <v>2</v>
      </c>
      <c r="B3" s="1" t="s">
        <v>314</v>
      </c>
      <c r="C3" s="1" t="s">
        <v>315</v>
      </c>
      <c r="D3" s="119" t="s">
        <v>313</v>
      </c>
      <c r="E3" s="9">
        <v>0.23</v>
      </c>
      <c r="F3" s="118">
        <f>E3*Demographics!H3</f>
        <v>170230.59</v>
      </c>
      <c r="G3" s="379" t="s">
        <v>631</v>
      </c>
      <c r="H3" s="1">
        <v>0.115</v>
      </c>
      <c r="I3" s="118">
        <f>H3*Demographics!$H3</f>
        <v>85115.294999999998</v>
      </c>
      <c r="J3" s="65" t="s">
        <v>632</v>
      </c>
      <c r="K3" s="1">
        <v>0.66</v>
      </c>
      <c r="L3" s="118">
        <f>K3*Demographics!$H3</f>
        <v>488487.78</v>
      </c>
      <c r="M3" s="379" t="s">
        <v>631</v>
      </c>
      <c r="N3" s="1">
        <v>5.8999999999999997E-2</v>
      </c>
      <c r="O3" s="118">
        <f>N3*Demographics!$H3</f>
        <v>43667.846999999994</v>
      </c>
      <c r="P3" s="119" t="s">
        <v>313</v>
      </c>
      <c r="Q3">
        <v>272</v>
      </c>
      <c r="R3" s="108">
        <v>0.65322580645161299</v>
      </c>
      <c r="S3" s="108">
        <v>0.94186046511627897</v>
      </c>
      <c r="T3" s="119" t="s">
        <v>313</v>
      </c>
      <c r="U3">
        <v>1785</v>
      </c>
      <c r="V3" s="108">
        <v>0.86842105263157898</v>
      </c>
      <c r="W3" s="108">
        <v>0.97058823529411797</v>
      </c>
      <c r="X3" s="118">
        <f>V3*W3*Demographics!$H3</f>
        <v>623842.75309597549</v>
      </c>
      <c r="Y3" s="119" t="s">
        <v>313</v>
      </c>
      <c r="Z3">
        <v>244</v>
      </c>
      <c r="AA3" s="108">
        <v>0.6</v>
      </c>
      <c r="AB3" s="108">
        <v>0.9375</v>
      </c>
      <c r="AC3" s="118">
        <f>AA3*AB3*Demographics!$H3</f>
        <v>416324.8125</v>
      </c>
      <c r="AD3" s="119" t="s">
        <v>313</v>
      </c>
      <c r="AE3">
        <v>2197</v>
      </c>
      <c r="AF3" s="108">
        <v>0.47226386806596699</v>
      </c>
      <c r="AG3" s="108">
        <v>0.90517241379310398</v>
      </c>
      <c r="AH3" s="178">
        <f>AF3*AG3*Demographics!$H3</f>
        <v>316392.22166933789</v>
      </c>
      <c r="AI3" s="119" t="s">
        <v>313</v>
      </c>
      <c r="AJ3" s="76">
        <v>259</v>
      </c>
      <c r="AK3" s="108">
        <v>0.62105263157894697</v>
      </c>
      <c r="AL3" s="108">
        <v>0.94915254237288105</v>
      </c>
      <c r="AM3" s="119" t="s">
        <v>313</v>
      </c>
      <c r="AN3">
        <v>277</v>
      </c>
      <c r="AO3" s="108">
        <v>0.8</v>
      </c>
      <c r="AP3" s="108">
        <v>0.875</v>
      </c>
      <c r="AQ3" s="119" t="s">
        <v>313</v>
      </c>
      <c r="AR3" t="s">
        <v>633</v>
      </c>
      <c r="AS3" s="108">
        <v>0.64766839378238295</v>
      </c>
      <c r="AT3" s="108">
        <v>0.92800000000000005</v>
      </c>
      <c r="AU3" s="119" t="s">
        <v>313</v>
      </c>
      <c r="AV3">
        <v>97</v>
      </c>
      <c r="AW3" s="108">
        <v>0.65789473684210498</v>
      </c>
      <c r="AX3" s="131">
        <v>0.92</v>
      </c>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row>
    <row r="4" spans="1:149" s="1" customFormat="1">
      <c r="A4" s="9">
        <v>3</v>
      </c>
      <c r="B4" s="1" t="s">
        <v>321</v>
      </c>
      <c r="C4" s="1" t="s">
        <v>322</v>
      </c>
      <c r="D4" s="119" t="s">
        <v>313</v>
      </c>
      <c r="E4" s="9">
        <v>0.20399999999999999</v>
      </c>
      <c r="F4" s="118">
        <f>E4*Demographics!H4</f>
        <v>1546806.3359999999</v>
      </c>
      <c r="G4" s="379" t="s">
        <v>631</v>
      </c>
      <c r="H4" s="1">
        <v>0.16500000000000001</v>
      </c>
      <c r="I4" s="118">
        <f>H4*Demographics!$H4</f>
        <v>1251093.3600000001</v>
      </c>
      <c r="J4" s="65" t="s">
        <v>632</v>
      </c>
      <c r="K4" s="1">
        <v>0.64</v>
      </c>
      <c r="L4" s="118">
        <f>K4*Demographics!$H4</f>
        <v>4852725.7599999998</v>
      </c>
      <c r="M4" s="379" t="s">
        <v>631</v>
      </c>
      <c r="N4" s="1">
        <v>1.4E-2</v>
      </c>
      <c r="O4" s="118">
        <f>N4*Demographics!$H4</f>
        <v>106153.376</v>
      </c>
      <c r="P4" s="119" t="s">
        <v>313</v>
      </c>
      <c r="Q4">
        <v>450</v>
      </c>
      <c r="R4" s="108">
        <v>0.72435897435897401</v>
      </c>
      <c r="S4" s="108">
        <v>0.95762711864406802</v>
      </c>
      <c r="T4" s="119" t="s">
        <v>313</v>
      </c>
      <c r="U4">
        <v>1948</v>
      </c>
      <c r="V4" s="108">
        <v>0.82758620689655205</v>
      </c>
      <c r="W4" s="108">
        <v>0.96</v>
      </c>
      <c r="X4" s="118">
        <f>V4*W4*Demographics!$H4</f>
        <v>6024073.3572413819</v>
      </c>
      <c r="Y4" s="119" t="s">
        <v>313</v>
      </c>
      <c r="Z4">
        <v>223</v>
      </c>
      <c r="AA4" s="108">
        <v>0.55555555555555602</v>
      </c>
      <c r="AB4" s="108">
        <v>1</v>
      </c>
      <c r="AC4" s="118">
        <f>AA4*AB4*Demographics!$H4</f>
        <v>4212435.5555555588</v>
      </c>
      <c r="AD4" s="119" t="s">
        <v>313</v>
      </c>
      <c r="AE4">
        <v>1882</v>
      </c>
      <c r="AF4" s="108">
        <v>0.45814977973568299</v>
      </c>
      <c r="AG4" s="108">
        <v>0.91228070175438603</v>
      </c>
      <c r="AH4" s="178">
        <f>AF4*AG4*Demographics!$H4</f>
        <v>3169142.3349563349</v>
      </c>
      <c r="AI4" s="119" t="s">
        <v>313</v>
      </c>
      <c r="AJ4" s="76">
        <v>211</v>
      </c>
      <c r="AK4" s="108">
        <v>0.57692307692307698</v>
      </c>
      <c r="AL4" s="108">
        <v>0.95555555555555605</v>
      </c>
      <c r="AM4" s="119" t="s">
        <v>313</v>
      </c>
      <c r="AN4">
        <v>688</v>
      </c>
      <c r="AO4" s="108">
        <v>0.75757575757575801</v>
      </c>
      <c r="AP4" s="108">
        <v>0.96</v>
      </c>
      <c r="AQ4" s="119" t="s">
        <v>313</v>
      </c>
      <c r="AR4" t="s">
        <v>633</v>
      </c>
      <c r="AS4" s="108">
        <v>0.51869158878504695</v>
      </c>
      <c r="AT4" s="108">
        <v>0.90990990990991005</v>
      </c>
      <c r="AU4" s="119" t="s">
        <v>313</v>
      </c>
      <c r="AV4">
        <v>301</v>
      </c>
      <c r="AW4" s="108">
        <v>0.4375</v>
      </c>
      <c r="AX4" s="131">
        <v>0.8</v>
      </c>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row>
    <row r="5" spans="1:149" s="1" customFormat="1">
      <c r="A5" s="9">
        <v>4</v>
      </c>
      <c r="B5" s="1" t="s">
        <v>327</v>
      </c>
      <c r="C5" s="1" t="s">
        <v>328</v>
      </c>
      <c r="D5" s="119" t="s">
        <v>313</v>
      </c>
      <c r="E5" s="9">
        <v>0.253</v>
      </c>
      <c r="F5" s="118">
        <f>E5*Demographics!H5</f>
        <v>781353.56200000003</v>
      </c>
      <c r="G5" s="379" t="s">
        <v>631</v>
      </c>
      <c r="H5" s="1">
        <v>0.16</v>
      </c>
      <c r="I5" s="118">
        <f>H5*Demographics!$H5</f>
        <v>494136.64</v>
      </c>
      <c r="J5" s="65" t="s">
        <v>632</v>
      </c>
      <c r="K5" s="1">
        <v>0.60199999999999998</v>
      </c>
      <c r="L5" s="118">
        <f>K5*Demographics!$H5</f>
        <v>1859189.108</v>
      </c>
      <c r="M5" s="379" t="s">
        <v>631</v>
      </c>
      <c r="N5" s="1">
        <v>1.4999999999999999E-2</v>
      </c>
      <c r="O5" s="118">
        <f>N5*Demographics!$H5</f>
        <v>46325.31</v>
      </c>
      <c r="P5" s="119" t="s">
        <v>313</v>
      </c>
      <c r="Q5">
        <v>342</v>
      </c>
      <c r="R5" s="108">
        <v>0.527272727272727</v>
      </c>
      <c r="S5" s="108">
        <v>0.93548387096774199</v>
      </c>
      <c r="T5" s="119" t="s">
        <v>313</v>
      </c>
      <c r="U5">
        <v>3124</v>
      </c>
      <c r="V5" s="108">
        <v>0.66</v>
      </c>
      <c r="W5" s="108">
        <v>0.97058823529411797</v>
      </c>
      <c r="X5" s="118">
        <f>V5*W5*Demographics!$H5</f>
        <v>1978363.2388235303</v>
      </c>
      <c r="Y5" s="119" t="s">
        <v>313</v>
      </c>
      <c r="Z5">
        <v>402</v>
      </c>
      <c r="AA5" s="108">
        <v>0.65625</v>
      </c>
      <c r="AB5" s="108">
        <v>0.95454545454545503</v>
      </c>
      <c r="AC5" s="118">
        <f>AA5*AB5*Demographics!$H5</f>
        <v>1934608.1164772736</v>
      </c>
      <c r="AD5" s="119" t="s">
        <v>313</v>
      </c>
      <c r="AE5">
        <v>2956</v>
      </c>
      <c r="AF5" s="108">
        <v>0.39130434782608697</v>
      </c>
      <c r="AG5" s="108">
        <v>0.82051282051282104</v>
      </c>
      <c r="AH5" s="178">
        <f>AF5*AG5*Demographics!$H5</f>
        <v>991578.54180602077</v>
      </c>
      <c r="AI5" s="119" t="s">
        <v>313</v>
      </c>
      <c r="AJ5" s="76">
        <v>294</v>
      </c>
      <c r="AK5" s="108">
        <v>0.747899159663866</v>
      </c>
      <c r="AL5" s="108">
        <v>0.95505617977528101</v>
      </c>
      <c r="AM5" s="119" t="s">
        <v>313</v>
      </c>
      <c r="AN5">
        <v>541</v>
      </c>
      <c r="AO5" s="108">
        <v>0.88235294117647101</v>
      </c>
      <c r="AP5" s="108">
        <v>1</v>
      </c>
      <c r="AQ5" s="119" t="s">
        <v>313</v>
      </c>
      <c r="AR5" t="s">
        <v>633</v>
      </c>
      <c r="AS5" s="108">
        <v>0.662207357859532</v>
      </c>
      <c r="AT5" s="108">
        <v>0.96969696969696995</v>
      </c>
      <c r="AU5" s="119" t="s">
        <v>313</v>
      </c>
      <c r="AV5">
        <v>218</v>
      </c>
      <c r="AW5" s="108">
        <v>0.50793650793650802</v>
      </c>
      <c r="AX5" s="131">
        <v>1</v>
      </c>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row>
    <row r="6" spans="1:149" s="1" customFormat="1">
      <c r="A6" s="9">
        <v>5</v>
      </c>
      <c r="B6" s="1" t="s">
        <v>332</v>
      </c>
      <c r="C6" s="1" t="s">
        <v>333</v>
      </c>
      <c r="D6" s="119" t="s">
        <v>313</v>
      </c>
      <c r="E6" s="9">
        <v>0.27200000000000002</v>
      </c>
      <c r="F6" s="118">
        <f>E6*Demographics!H6</f>
        <v>10725303.536</v>
      </c>
      <c r="G6" s="379" t="s">
        <v>631</v>
      </c>
      <c r="H6" s="1">
        <v>0.12</v>
      </c>
      <c r="I6" s="118">
        <f>H6*Demographics!$H6</f>
        <v>4731751.5599999996</v>
      </c>
      <c r="J6" s="65" t="s">
        <v>632</v>
      </c>
      <c r="K6" s="1">
        <v>0.63400000000000001</v>
      </c>
      <c r="L6" s="118">
        <f>K6*Demographics!$H6</f>
        <v>24999420.741999999</v>
      </c>
      <c r="M6" s="379" t="s">
        <v>631</v>
      </c>
      <c r="N6" s="1">
        <v>8.0000000000000002E-3</v>
      </c>
      <c r="O6" s="118">
        <f>N6*Demographics!$H6</f>
        <v>315450.10399999999</v>
      </c>
      <c r="P6" s="119" t="s">
        <v>313</v>
      </c>
      <c r="Q6">
        <v>328</v>
      </c>
      <c r="R6" s="108">
        <v>0.55555555555555602</v>
      </c>
      <c r="S6" s="108">
        <v>0.89552238805970197</v>
      </c>
      <c r="T6" s="119" t="s">
        <v>313</v>
      </c>
      <c r="U6">
        <v>2396</v>
      </c>
      <c r="V6" s="108">
        <v>0.45454545454545497</v>
      </c>
      <c r="W6" s="108">
        <v>0.87719298245613997</v>
      </c>
      <c r="X6" s="118">
        <f>V6*W6*Demographics!$H6</f>
        <v>15722194.178628398</v>
      </c>
      <c r="Y6" s="119" t="s">
        <v>313</v>
      </c>
      <c r="Z6">
        <v>318</v>
      </c>
      <c r="AA6" s="108">
        <v>0.33333333333333298</v>
      </c>
      <c r="AB6" s="108">
        <v>0.91666666666666696</v>
      </c>
      <c r="AC6" s="118">
        <f>AA6*AB6*Demographics!$H6</f>
        <v>12048441.472222215</v>
      </c>
      <c r="AD6" s="119" t="s">
        <v>313</v>
      </c>
      <c r="AE6">
        <v>3358</v>
      </c>
      <c r="AF6" s="108">
        <v>0.42540073982737397</v>
      </c>
      <c r="AG6" s="108">
        <v>0.873417721518987</v>
      </c>
      <c r="AH6" s="178">
        <f>AF6*AG6*Demographics!$H6</f>
        <v>14650786.116764745</v>
      </c>
      <c r="AI6" s="119" t="s">
        <v>313</v>
      </c>
      <c r="AJ6" s="76">
        <v>193</v>
      </c>
      <c r="AK6" s="108">
        <v>0.60563380281690105</v>
      </c>
      <c r="AL6" s="108">
        <v>0.88372093023255804</v>
      </c>
      <c r="AM6" s="119" t="s">
        <v>313</v>
      </c>
      <c r="AN6">
        <v>582</v>
      </c>
      <c r="AO6" s="108">
        <v>0.46511627906976699</v>
      </c>
      <c r="AP6" s="108">
        <v>0.85</v>
      </c>
      <c r="AQ6" s="119" t="s">
        <v>313</v>
      </c>
      <c r="AR6" t="s">
        <v>633</v>
      </c>
      <c r="AS6" s="108">
        <v>0.46578366445916097</v>
      </c>
      <c r="AT6" s="108">
        <v>0.91943127962085303</v>
      </c>
      <c r="AU6" s="119" t="s">
        <v>313</v>
      </c>
      <c r="AV6">
        <v>340</v>
      </c>
      <c r="AW6" s="108">
        <v>0.51162790697674398</v>
      </c>
      <c r="AX6" s="131">
        <v>0.95454545454545403</v>
      </c>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row>
    <row r="7" spans="1:149" s="1" customFormat="1">
      <c r="A7" s="9">
        <v>6</v>
      </c>
      <c r="B7" s="1" t="s">
        <v>337</v>
      </c>
      <c r="C7" s="1" t="s">
        <v>338</v>
      </c>
      <c r="D7" s="119" t="s">
        <v>313</v>
      </c>
      <c r="E7" s="9">
        <v>0.187</v>
      </c>
      <c r="F7" s="118">
        <f>E7*Demographics!H7</f>
        <v>1114051.1910000001</v>
      </c>
      <c r="G7" s="379" t="s">
        <v>631</v>
      </c>
      <c r="H7" s="1">
        <v>0.13600000000000001</v>
      </c>
      <c r="I7" s="118">
        <f>H7*Demographics!$H7</f>
        <v>810219.04800000007</v>
      </c>
      <c r="J7" s="65" t="s">
        <v>632</v>
      </c>
      <c r="K7" s="1">
        <v>0.70299999999999996</v>
      </c>
      <c r="L7" s="118">
        <f>K7*Demographics!$H7</f>
        <v>4188117.5789999999</v>
      </c>
      <c r="M7" s="379" t="s">
        <v>631</v>
      </c>
      <c r="N7" s="1">
        <v>0.02</v>
      </c>
      <c r="O7" s="118">
        <f>N7*Demographics!$H7</f>
        <v>119149.86</v>
      </c>
      <c r="P7" s="119" t="s">
        <v>313</v>
      </c>
      <c r="Q7">
        <v>872</v>
      </c>
      <c r="R7" s="108">
        <v>0.57270029673590495</v>
      </c>
      <c r="S7" s="108">
        <v>0.92344497607655496</v>
      </c>
      <c r="T7" s="119" t="s">
        <v>313</v>
      </c>
      <c r="U7">
        <v>2988</v>
      </c>
      <c r="V7" s="108">
        <v>0.51162790697674398</v>
      </c>
      <c r="W7" s="108">
        <v>0.84615384615384603</v>
      </c>
      <c r="X7" s="118">
        <f>V7*W7*Demographics!$H7</f>
        <v>2579093.570661895</v>
      </c>
      <c r="Y7" s="119" t="s">
        <v>313</v>
      </c>
      <c r="Z7">
        <v>435</v>
      </c>
      <c r="AA7" s="108">
        <v>0.63157894736842102</v>
      </c>
      <c r="AB7" s="108">
        <v>0.97297297297297303</v>
      </c>
      <c r="AC7" s="118">
        <f>AA7*AB7*Demographics!$H7</f>
        <v>3660934.53200569</v>
      </c>
      <c r="AD7" s="119" t="s">
        <v>313</v>
      </c>
      <c r="AE7">
        <v>4959</v>
      </c>
      <c r="AF7" s="108">
        <v>0.44873817034700297</v>
      </c>
      <c r="AG7" s="108">
        <v>0.86870229007633604</v>
      </c>
      <c r="AH7" s="178">
        <f>AF7*AG7*Demographics!$H7</f>
        <v>2322349.1838719384</v>
      </c>
      <c r="AI7" s="119" t="s">
        <v>313</v>
      </c>
      <c r="AJ7" s="76">
        <v>472</v>
      </c>
      <c r="AK7" s="108">
        <v>0.62566844919786102</v>
      </c>
      <c r="AL7" s="108">
        <v>0.90598290598290598</v>
      </c>
      <c r="AM7" s="119" t="s">
        <v>313</v>
      </c>
      <c r="AN7">
        <v>484</v>
      </c>
      <c r="AO7" s="108">
        <v>0.5</v>
      </c>
      <c r="AP7" s="108">
        <v>0.90909090909090895</v>
      </c>
      <c r="AQ7" s="119" t="s">
        <v>313</v>
      </c>
      <c r="AR7" t="s">
        <v>633</v>
      </c>
      <c r="AS7" s="108">
        <v>0.52731092436974802</v>
      </c>
      <c r="AT7" s="108">
        <v>0.90039840637450197</v>
      </c>
      <c r="AU7" s="119" t="s">
        <v>313</v>
      </c>
      <c r="AV7">
        <v>275</v>
      </c>
      <c r="AW7" s="108">
        <v>0.60576923076923095</v>
      </c>
      <c r="AX7" s="131">
        <v>0.87301587301587302</v>
      </c>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row>
    <row r="8" spans="1:149" s="1" customFormat="1">
      <c r="A8" s="9">
        <v>7</v>
      </c>
      <c r="B8" s="1" t="s">
        <v>342</v>
      </c>
      <c r="C8" s="1" t="s">
        <v>343</v>
      </c>
      <c r="D8" s="119" t="s">
        <v>313</v>
      </c>
      <c r="E8" s="9">
        <v>0.22700000000000001</v>
      </c>
      <c r="F8" s="118">
        <f>E8*Demographics!H8</f>
        <v>834240.66300000006</v>
      </c>
      <c r="G8" s="379" t="s">
        <v>631</v>
      </c>
      <c r="H8" s="1">
        <v>0.14799999999999999</v>
      </c>
      <c r="I8" s="118">
        <f>H8*Demographics!$H8</f>
        <v>543910.21199999994</v>
      </c>
      <c r="J8" s="65" t="s">
        <v>632</v>
      </c>
      <c r="K8" s="1">
        <v>0.67799999999999994</v>
      </c>
      <c r="L8" s="118">
        <f>K8*Demographics!$H8</f>
        <v>2491696.7819999997</v>
      </c>
      <c r="M8" s="379" t="s">
        <v>631</v>
      </c>
      <c r="N8" s="1">
        <v>6.0000000000000001E-3</v>
      </c>
      <c r="O8" s="118">
        <f>N8*Demographics!$H8</f>
        <v>22050.414000000001</v>
      </c>
      <c r="P8" s="119" t="s">
        <v>313</v>
      </c>
      <c r="Q8">
        <v>419</v>
      </c>
      <c r="R8" s="108">
        <v>0.61643835616438403</v>
      </c>
      <c r="S8" s="108">
        <v>0.90909090909090895</v>
      </c>
      <c r="T8" s="119" t="s">
        <v>313</v>
      </c>
      <c r="U8">
        <v>1830</v>
      </c>
      <c r="V8" s="108">
        <v>0.46376811594202899</v>
      </c>
      <c r="W8" s="108">
        <v>0.88888888888888895</v>
      </c>
      <c r="X8" s="118">
        <f>V8*W8*Demographics!$H8</f>
        <v>1515004.2898550727</v>
      </c>
      <c r="Y8" s="119" t="s">
        <v>313</v>
      </c>
      <c r="Z8">
        <v>138</v>
      </c>
      <c r="AA8" s="108">
        <v>0.53846153846153799</v>
      </c>
      <c r="AB8" s="108">
        <v>0.875</v>
      </c>
      <c r="AC8" s="118">
        <f>AA8*AB8*Demographics!$H8</f>
        <v>1731522.8942307679</v>
      </c>
      <c r="AD8" s="119" t="s">
        <v>313</v>
      </c>
      <c r="AE8">
        <v>3545</v>
      </c>
      <c r="AF8" s="108">
        <v>0.39606396063960603</v>
      </c>
      <c r="AG8" s="108">
        <v>0.83636363636363598</v>
      </c>
      <c r="AH8" s="178">
        <f>AF8*AG8*Demographics!$H8</f>
        <v>1217379.4482388443</v>
      </c>
      <c r="AI8" s="119" t="s">
        <v>313</v>
      </c>
      <c r="AJ8" s="76">
        <v>215</v>
      </c>
      <c r="AK8" s="108">
        <v>0.67469879518072295</v>
      </c>
      <c r="AL8" s="108">
        <v>0.89285714285714302</v>
      </c>
      <c r="AM8" s="119" t="s">
        <v>313</v>
      </c>
      <c r="AN8">
        <v>339</v>
      </c>
      <c r="AO8" s="108">
        <v>0.512820512820513</v>
      </c>
      <c r="AP8" s="108">
        <v>0.9</v>
      </c>
      <c r="AQ8" s="119" t="s">
        <v>313</v>
      </c>
      <c r="AR8" t="s">
        <v>633</v>
      </c>
      <c r="AS8" s="108">
        <v>0.52134146341463405</v>
      </c>
      <c r="AT8" s="108">
        <v>0.88304093567251496</v>
      </c>
      <c r="AU8" s="119" t="s">
        <v>313</v>
      </c>
      <c r="AV8">
        <v>188</v>
      </c>
      <c r="AW8" s="108">
        <v>0.39622641509433998</v>
      </c>
      <c r="AX8" s="131">
        <v>1</v>
      </c>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row>
    <row r="9" spans="1:149" s="1" customFormat="1">
      <c r="A9" s="9">
        <v>8</v>
      </c>
      <c r="B9" s="1" t="s">
        <v>348</v>
      </c>
      <c r="C9" s="1" t="s">
        <v>349</v>
      </c>
      <c r="D9" s="119" t="s">
        <v>313</v>
      </c>
      <c r="E9" s="9">
        <v>0.216</v>
      </c>
      <c r="F9" s="118">
        <f>E9*Demographics!H9</f>
        <v>227214.07199999999</v>
      </c>
      <c r="G9" s="379" t="s">
        <v>631</v>
      </c>
      <c r="H9" s="1">
        <v>0.187</v>
      </c>
      <c r="I9" s="118">
        <f>H9*Demographics!$H9</f>
        <v>196708.47899999999</v>
      </c>
      <c r="J9" s="65" t="s">
        <v>632</v>
      </c>
      <c r="K9" s="1">
        <v>0.69099999999999995</v>
      </c>
      <c r="L9" s="118">
        <f>K9*Demographics!$H9</f>
        <v>726874.647</v>
      </c>
      <c r="M9" s="379" t="s">
        <v>631</v>
      </c>
      <c r="N9" s="1">
        <v>8.0000000000000002E-3</v>
      </c>
      <c r="O9" s="118">
        <f>N9*Demographics!$H9</f>
        <v>8415.3359999999993</v>
      </c>
      <c r="P9" s="119" t="s">
        <v>313</v>
      </c>
      <c r="Q9">
        <v>279</v>
      </c>
      <c r="R9" s="108">
        <v>0.50925925925925897</v>
      </c>
      <c r="S9" s="108">
        <v>0.88709677419354804</v>
      </c>
      <c r="T9" s="119" t="s">
        <v>313</v>
      </c>
      <c r="U9">
        <v>1802</v>
      </c>
      <c r="V9" s="108">
        <v>0.72093023255813904</v>
      </c>
      <c r="W9" s="108">
        <v>1</v>
      </c>
      <c r="X9" s="118">
        <f>V9*W9*Demographics!$H9</f>
        <v>758358.76744185993</v>
      </c>
      <c r="Y9" s="119" t="s">
        <v>313</v>
      </c>
      <c r="Z9">
        <v>140</v>
      </c>
      <c r="AA9" s="108">
        <v>0.65</v>
      </c>
      <c r="AB9" s="108">
        <v>1</v>
      </c>
      <c r="AC9" s="118">
        <f>AA9*AB9*Demographics!$H9</f>
        <v>683746.05</v>
      </c>
      <c r="AD9" s="119" t="s">
        <v>313</v>
      </c>
      <c r="AE9">
        <v>1550</v>
      </c>
      <c r="AF9" s="108">
        <v>0.43769968051118202</v>
      </c>
      <c r="AG9" s="108">
        <v>0.83030303030302999</v>
      </c>
      <c r="AH9" s="178">
        <f>AF9*AG9*Demographics!$H9</f>
        <v>382291.22224803927</v>
      </c>
      <c r="AI9" s="119" t="s">
        <v>313</v>
      </c>
      <c r="AJ9" s="76">
        <v>160</v>
      </c>
      <c r="AK9" s="108">
        <v>0.61194029850746301</v>
      </c>
      <c r="AL9" s="108">
        <v>0.87804878048780499</v>
      </c>
      <c r="AM9" s="119" t="s">
        <v>313</v>
      </c>
      <c r="AN9">
        <v>297</v>
      </c>
      <c r="AO9" s="108">
        <v>0.77777777777777801</v>
      </c>
      <c r="AP9" s="108">
        <v>1</v>
      </c>
      <c r="AQ9" s="119" t="s">
        <v>313</v>
      </c>
      <c r="AR9" t="s">
        <v>633</v>
      </c>
      <c r="AS9" s="108">
        <v>0.58730158730158699</v>
      </c>
      <c r="AT9" s="108">
        <v>0.891891891891892</v>
      </c>
      <c r="AU9" s="119" t="s">
        <v>313</v>
      </c>
      <c r="AV9">
        <v>133</v>
      </c>
      <c r="AW9" s="108">
        <v>0.58333333333333304</v>
      </c>
      <c r="AX9" s="131">
        <v>0.80952380952380898</v>
      </c>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row>
    <row r="10" spans="1:149" s="1" customFormat="1">
      <c r="A10" s="9">
        <v>9</v>
      </c>
      <c r="B10" s="1" t="s">
        <v>353</v>
      </c>
      <c r="C10" s="1" t="s">
        <v>354</v>
      </c>
      <c r="D10" s="119" t="s">
        <v>313</v>
      </c>
      <c r="E10" s="9">
        <v>0.17699999999999999</v>
      </c>
      <c r="F10" s="118">
        <f>E10*Demographics!H10</f>
        <v>4136882.0549999997</v>
      </c>
      <c r="G10" s="379" t="s">
        <v>631</v>
      </c>
      <c r="H10" s="1">
        <v>0.18099999999999999</v>
      </c>
      <c r="I10" s="118">
        <f>H10*Demographics!$H10</f>
        <v>4230370.915</v>
      </c>
      <c r="J10" s="65" t="s">
        <v>632</v>
      </c>
      <c r="K10" s="1">
        <v>0.64200000000000002</v>
      </c>
      <c r="L10" s="118">
        <f>K10*Demographics!$H10</f>
        <v>15004962.030000001</v>
      </c>
      <c r="M10" s="379" t="s">
        <v>631</v>
      </c>
      <c r="N10" s="1">
        <v>1.9E-2</v>
      </c>
      <c r="O10" s="118">
        <f>N10*Demographics!$H10</f>
        <v>444072.08499999996</v>
      </c>
      <c r="P10" s="119" t="s">
        <v>313</v>
      </c>
      <c r="Q10">
        <v>629</v>
      </c>
      <c r="R10" s="108">
        <v>0.495798319327731</v>
      </c>
      <c r="S10" s="108">
        <v>0.93650793650793696</v>
      </c>
      <c r="T10" s="119" t="s">
        <v>313</v>
      </c>
      <c r="U10">
        <v>5351</v>
      </c>
      <c r="V10" s="108">
        <v>0.64516129032258096</v>
      </c>
      <c r="W10" s="108">
        <v>1</v>
      </c>
      <c r="X10" s="118">
        <f>V10*W10*Demographics!$H10</f>
        <v>15078848.387096781</v>
      </c>
      <c r="Y10" s="119" t="s">
        <v>313</v>
      </c>
      <c r="Z10">
        <v>702</v>
      </c>
      <c r="AA10" s="108">
        <v>0.43859649122806998</v>
      </c>
      <c r="AB10" s="108">
        <v>0.89285714285714302</v>
      </c>
      <c r="AC10" s="118">
        <f>AA10*AB10*Demographics!$H10</f>
        <v>9152653.117167918</v>
      </c>
      <c r="AD10" s="119" t="s">
        <v>313</v>
      </c>
      <c r="AE10">
        <v>4216</v>
      </c>
      <c r="AF10" s="108">
        <v>0.38722966014418098</v>
      </c>
      <c r="AG10" s="108">
        <v>0.85454545454545405</v>
      </c>
      <c r="AH10" s="178">
        <f>AF10*AG10*Demographics!$H10</f>
        <v>7733990.8899915637</v>
      </c>
      <c r="AI10" s="119" t="s">
        <v>313</v>
      </c>
      <c r="AJ10" s="76">
        <v>371</v>
      </c>
      <c r="AK10" s="108">
        <v>0.55900621118012395</v>
      </c>
      <c r="AL10" s="108">
        <v>0.94444444444444497</v>
      </c>
      <c r="AM10" s="119" t="s">
        <v>313</v>
      </c>
      <c r="AN10">
        <v>1155</v>
      </c>
      <c r="AO10" s="108">
        <v>0.67647058823529405</v>
      </c>
      <c r="AP10" s="108">
        <v>1</v>
      </c>
      <c r="AQ10" s="119" t="s">
        <v>313</v>
      </c>
      <c r="AR10" t="s">
        <v>633</v>
      </c>
      <c r="AS10" s="108">
        <v>0.510830324909747</v>
      </c>
      <c r="AT10" s="108">
        <v>0.91519434628975205</v>
      </c>
      <c r="AU10" s="119" t="s">
        <v>313</v>
      </c>
      <c r="AV10">
        <v>488</v>
      </c>
      <c r="AW10" s="108">
        <v>0.468354430379747</v>
      </c>
      <c r="AX10" s="131">
        <v>0.79729729729729704</v>
      </c>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row>
    <row r="11" spans="1:149" s="1" customFormat="1">
      <c r="A11" s="9">
        <v>10</v>
      </c>
      <c r="B11" s="1" t="s">
        <v>358</v>
      </c>
      <c r="C11" s="1" t="s">
        <v>359</v>
      </c>
      <c r="D11" s="119" t="s">
        <v>313</v>
      </c>
      <c r="E11" s="9">
        <v>0.188</v>
      </c>
      <c r="F11" s="118">
        <f>E11*Demographics!H11</f>
        <v>2102005.0639999998</v>
      </c>
      <c r="G11" s="379" t="s">
        <v>631</v>
      </c>
      <c r="H11" s="1">
        <v>0.129</v>
      </c>
      <c r="I11" s="118">
        <f>H11*Demographics!$H11</f>
        <v>1442333.2620000001</v>
      </c>
      <c r="J11" s="65" t="s">
        <v>632</v>
      </c>
      <c r="K11" s="1">
        <v>0.66299999999999992</v>
      </c>
      <c r="L11" s="118">
        <f>K11*Demographics!$H11</f>
        <v>7412922.1139999991</v>
      </c>
      <c r="M11" s="379" t="s">
        <v>631</v>
      </c>
      <c r="N11" s="1">
        <v>2.1999999999999999E-2</v>
      </c>
      <c r="O11" s="118">
        <f>N11*Demographics!$H11</f>
        <v>245979.31599999999</v>
      </c>
      <c r="P11" s="119" t="s">
        <v>313</v>
      </c>
      <c r="Q11">
        <v>328</v>
      </c>
      <c r="R11" s="108">
        <v>0.59130434782608698</v>
      </c>
      <c r="S11" s="108">
        <v>0.931506849315069</v>
      </c>
      <c r="T11" s="119" t="s">
        <v>313</v>
      </c>
      <c r="U11">
        <v>2432</v>
      </c>
      <c r="V11" s="108">
        <v>0.60606060606060597</v>
      </c>
      <c r="W11" s="108">
        <v>0.952380952380952</v>
      </c>
      <c r="X11" s="118">
        <f>V11*W11*Demographics!$H11</f>
        <v>6453609.2352092313</v>
      </c>
      <c r="Y11" s="119" t="s">
        <v>313</v>
      </c>
      <c r="Z11">
        <v>381</v>
      </c>
      <c r="AA11" s="108">
        <v>0.50877192982456099</v>
      </c>
      <c r="AB11" s="108">
        <v>0.90625</v>
      </c>
      <c r="AC11" s="118">
        <f>AA11*AB11*Demographics!$H11</f>
        <v>5155218.4199561365</v>
      </c>
      <c r="AD11" s="119" t="s">
        <v>313</v>
      </c>
      <c r="AE11">
        <v>2842</v>
      </c>
      <c r="AF11" s="108">
        <v>0.41426611796982199</v>
      </c>
      <c r="AG11" s="108">
        <v>0.90419161676646698</v>
      </c>
      <c r="AH11" s="178">
        <f>AF11*AG11*Demographics!$H11</f>
        <v>4188088.0096268398</v>
      </c>
      <c r="AI11" s="119" t="s">
        <v>313</v>
      </c>
      <c r="AJ11" s="76">
        <v>196</v>
      </c>
      <c r="AK11" s="108">
        <v>0.686746987951807</v>
      </c>
      <c r="AL11" s="108">
        <v>0.94736842105263197</v>
      </c>
      <c r="AM11" s="119" t="s">
        <v>313</v>
      </c>
      <c r="AN11">
        <v>596</v>
      </c>
      <c r="AO11" s="108">
        <v>0.7</v>
      </c>
      <c r="AP11" s="108">
        <v>0.92857142857142905</v>
      </c>
      <c r="AQ11" s="119" t="s">
        <v>313</v>
      </c>
      <c r="AR11" t="s">
        <v>633</v>
      </c>
      <c r="AS11" s="108">
        <v>0.57441253263707603</v>
      </c>
      <c r="AT11" s="108">
        <v>0.94090909090909103</v>
      </c>
      <c r="AU11" s="119" t="s">
        <v>313</v>
      </c>
      <c r="AV11">
        <v>304</v>
      </c>
      <c r="AW11" s="108">
        <v>0.570175438596491</v>
      </c>
      <c r="AX11" s="131">
        <v>0.92307692307692302</v>
      </c>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row>
    <row r="12" spans="1:149" s="1" customFormat="1">
      <c r="A12" s="9">
        <v>11</v>
      </c>
      <c r="B12" s="1" t="s">
        <v>363</v>
      </c>
      <c r="C12" s="1" t="s">
        <v>364</v>
      </c>
      <c r="D12" s="119" t="s">
        <v>313</v>
      </c>
      <c r="E12" s="9">
        <v>0.21</v>
      </c>
      <c r="F12" s="118">
        <f>E12*Demographics!H12</f>
        <v>303690.65999999997</v>
      </c>
      <c r="G12" s="379" t="s">
        <v>631</v>
      </c>
      <c r="H12" s="1">
        <v>0.17</v>
      </c>
      <c r="I12" s="118">
        <f>H12*Demographics!$H12</f>
        <v>245844.82</v>
      </c>
      <c r="J12" s="65" t="s">
        <v>632</v>
      </c>
      <c r="K12" s="1">
        <v>0.752</v>
      </c>
      <c r="L12" s="118">
        <f>K12*Demographics!$H12</f>
        <v>1087501.7919999999</v>
      </c>
      <c r="M12" s="379" t="s">
        <v>631</v>
      </c>
      <c r="N12" s="1">
        <v>4.3999999999999997E-2</v>
      </c>
      <c r="O12" s="118">
        <f>N12*Demographics!$H12</f>
        <v>63630.423999999999</v>
      </c>
      <c r="P12" s="119" t="s">
        <v>313</v>
      </c>
      <c r="Q12">
        <v>353</v>
      </c>
      <c r="R12" s="108">
        <v>0.51648351648351698</v>
      </c>
      <c r="S12" s="108">
        <v>0.87037037037037002</v>
      </c>
      <c r="T12" s="119" t="s">
        <v>313</v>
      </c>
      <c r="U12">
        <v>2129</v>
      </c>
      <c r="V12" s="108">
        <v>0.56164383561643805</v>
      </c>
      <c r="W12" s="108">
        <v>0.97619047619047605</v>
      </c>
      <c r="X12" s="118">
        <f>V12*W12*Demographics!$H12</f>
        <v>792880.43900847959</v>
      </c>
      <c r="Y12" s="119" t="s">
        <v>313</v>
      </c>
      <c r="Z12">
        <v>370</v>
      </c>
      <c r="AA12" s="108">
        <v>0.4</v>
      </c>
      <c r="AB12" s="108">
        <v>0.88</v>
      </c>
      <c r="AC12" s="118">
        <f>AA12*AB12*Demographics!$H12</f>
        <v>509043.39200000005</v>
      </c>
      <c r="AD12" s="119" t="s">
        <v>313</v>
      </c>
      <c r="AE12">
        <v>2884</v>
      </c>
      <c r="AF12" s="108">
        <v>0.322033898305085</v>
      </c>
      <c r="AG12" s="108">
        <v>0.81640625</v>
      </c>
      <c r="AH12" s="178">
        <f>AF12*AG12*Demographics!$H12</f>
        <v>380206.94954978843</v>
      </c>
      <c r="AI12" s="119" t="s">
        <v>313</v>
      </c>
      <c r="AJ12" s="76">
        <v>156</v>
      </c>
      <c r="AK12" s="108">
        <v>0.58333333333333304</v>
      </c>
      <c r="AL12" s="108">
        <v>0.85714285714285698</v>
      </c>
      <c r="AM12" s="119" t="s">
        <v>313</v>
      </c>
      <c r="AN12">
        <v>449</v>
      </c>
      <c r="AO12" s="108">
        <v>0.61290322580645196</v>
      </c>
      <c r="AP12" s="108">
        <v>0.94736842105263197</v>
      </c>
      <c r="AQ12" s="119" t="s">
        <v>313</v>
      </c>
      <c r="AR12" t="s">
        <v>633</v>
      </c>
      <c r="AS12" s="108">
        <v>0.50168350168350195</v>
      </c>
      <c r="AT12" s="108">
        <v>0.85906040268456396</v>
      </c>
      <c r="AU12" s="119" t="s">
        <v>313</v>
      </c>
      <c r="AV12">
        <v>334</v>
      </c>
      <c r="AW12" s="108">
        <v>0.401709401709402</v>
      </c>
      <c r="AX12" s="131">
        <v>0.76595744680851097</v>
      </c>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row>
    <row r="13" spans="1:149" s="1" customFormat="1">
      <c r="A13" s="9">
        <v>12</v>
      </c>
      <c r="B13" s="1" t="s">
        <v>368</v>
      </c>
      <c r="C13" s="1" t="s">
        <v>278</v>
      </c>
      <c r="D13" s="119" t="s">
        <v>313</v>
      </c>
      <c r="E13" s="9">
        <v>0.183</v>
      </c>
      <c r="F13" s="118">
        <f>E13*Demographics!H13</f>
        <v>366296.277</v>
      </c>
      <c r="G13" s="379" t="s">
        <v>631</v>
      </c>
      <c r="H13" s="1">
        <v>0.158</v>
      </c>
      <c r="I13" s="118">
        <f>H13*Demographics!$H13</f>
        <v>316255.80200000003</v>
      </c>
      <c r="J13" s="65" t="s">
        <v>632</v>
      </c>
      <c r="K13" s="1">
        <v>0.68799999999999994</v>
      </c>
      <c r="L13" s="118">
        <f>K13*Demographics!$H13</f>
        <v>1377113.872</v>
      </c>
      <c r="M13" s="379" t="s">
        <v>631</v>
      </c>
      <c r="N13" s="1">
        <v>1.4999999999999999E-2</v>
      </c>
      <c r="O13" s="118">
        <f>N13*Demographics!$H13</f>
        <v>30024.285</v>
      </c>
      <c r="P13" s="119" t="s">
        <v>313</v>
      </c>
      <c r="Q13">
        <v>569</v>
      </c>
      <c r="R13" s="108">
        <v>0.61304347826087002</v>
      </c>
      <c r="S13" s="108">
        <v>0.92763157894736803</v>
      </c>
      <c r="T13" s="119" t="s">
        <v>313</v>
      </c>
      <c r="U13">
        <v>2776</v>
      </c>
      <c r="V13" s="108">
        <v>0.60674157303370801</v>
      </c>
      <c r="W13" s="108">
        <v>0.96428571428571397</v>
      </c>
      <c r="X13" s="118">
        <f>V13*W13*Demographics!$H13</f>
        <v>1171091.6942215087</v>
      </c>
      <c r="Y13" s="119" t="s">
        <v>313</v>
      </c>
      <c r="Z13">
        <v>233</v>
      </c>
      <c r="AA13" s="108">
        <v>0.55555555555555602</v>
      </c>
      <c r="AB13" s="108">
        <v>1</v>
      </c>
      <c r="AC13" s="118">
        <f>AA13*AB13*Demographics!$H13</f>
        <v>1112010.5555555564</v>
      </c>
      <c r="AD13" s="119" t="s">
        <v>313</v>
      </c>
      <c r="AE13">
        <v>4091</v>
      </c>
      <c r="AF13" s="108">
        <v>0.43439363817097398</v>
      </c>
      <c r="AG13" s="108">
        <v>0.91041666666666698</v>
      </c>
      <c r="AH13" s="178">
        <f>AF13*AG13*Demographics!$H13</f>
        <v>791598.69700753817</v>
      </c>
      <c r="AI13" s="119" t="s">
        <v>313</v>
      </c>
      <c r="AJ13" s="76">
        <v>222</v>
      </c>
      <c r="AK13" s="108">
        <v>0.59550561797752799</v>
      </c>
      <c r="AL13" s="108">
        <v>0.98113207547169801</v>
      </c>
      <c r="AM13" s="119" t="s">
        <v>313</v>
      </c>
      <c r="AN13">
        <v>347</v>
      </c>
      <c r="AO13" s="108">
        <v>0.83333333333333304</v>
      </c>
      <c r="AP13" s="108">
        <v>1</v>
      </c>
      <c r="AQ13" s="119" t="s">
        <v>313</v>
      </c>
      <c r="AR13" t="s">
        <v>633</v>
      </c>
      <c r="AS13" s="108">
        <v>0.52066115702479299</v>
      </c>
      <c r="AT13" s="108">
        <v>0.96825396825396803</v>
      </c>
      <c r="AU13" s="119" t="s">
        <v>313</v>
      </c>
      <c r="AV13">
        <v>219</v>
      </c>
      <c r="AW13" s="108">
        <v>0.52307692307692299</v>
      </c>
      <c r="AX13" s="131">
        <v>0.97058823529411797</v>
      </c>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row>
    <row r="14" spans="1:149" s="1" customFormat="1">
      <c r="A14" s="9">
        <v>13</v>
      </c>
      <c r="B14" s="1" t="s">
        <v>372</v>
      </c>
      <c r="C14" s="1" t="s">
        <v>373</v>
      </c>
      <c r="D14" s="119" t="s">
        <v>313</v>
      </c>
      <c r="E14" s="9">
        <v>0.19500000000000001</v>
      </c>
      <c r="F14" s="118">
        <f>E14*Demographics!H14</f>
        <v>2478480.81</v>
      </c>
      <c r="G14" s="379" t="s">
        <v>631</v>
      </c>
      <c r="H14" s="1">
        <v>0.14699999999999999</v>
      </c>
      <c r="I14" s="118">
        <f>H14*Demographics!$H14</f>
        <v>1868393.2259999998</v>
      </c>
      <c r="J14" s="65" t="s">
        <v>632</v>
      </c>
      <c r="K14" s="1">
        <v>0.69700000000000006</v>
      </c>
      <c r="L14" s="118">
        <f>K14*Demographics!$H14</f>
        <v>8858980.1260000002</v>
      </c>
      <c r="M14" s="379" t="s">
        <v>631</v>
      </c>
      <c r="N14" s="1">
        <v>6.0000000000000001E-3</v>
      </c>
      <c r="O14" s="118">
        <f>N14*Demographics!$H14</f>
        <v>76260.948000000004</v>
      </c>
      <c r="P14" s="119" t="s">
        <v>313</v>
      </c>
      <c r="Q14">
        <v>387</v>
      </c>
      <c r="R14" s="108">
        <v>0.59090909090909105</v>
      </c>
      <c r="S14" s="108">
        <v>0.94791666666666696</v>
      </c>
      <c r="T14" s="119" t="s">
        <v>313</v>
      </c>
      <c r="U14">
        <v>1311</v>
      </c>
      <c r="V14" s="108">
        <v>0.7</v>
      </c>
      <c r="W14" s="108">
        <v>1</v>
      </c>
      <c r="X14" s="118">
        <f>V14*W14*Demographics!$H14</f>
        <v>8897110.5999999996</v>
      </c>
      <c r="Y14" s="119" t="s">
        <v>313</v>
      </c>
      <c r="Z14">
        <v>175</v>
      </c>
      <c r="AA14" s="108">
        <v>0.625</v>
      </c>
      <c r="AB14" s="108">
        <v>0.90909090909090895</v>
      </c>
      <c r="AC14" s="118">
        <f>AA14*AB14*Demographics!$H14</f>
        <v>7221680.6818181807</v>
      </c>
      <c r="AD14" s="119" t="s">
        <v>313</v>
      </c>
      <c r="AE14">
        <v>1853</v>
      </c>
      <c r="AF14" s="108">
        <v>0.44255319148936201</v>
      </c>
      <c r="AG14" s="108">
        <v>0.94977168949771695</v>
      </c>
      <c r="AH14" s="178">
        <f>AF14*AG14*Demographics!$H14</f>
        <v>5342390.7093364457</v>
      </c>
      <c r="AI14" s="119" t="s">
        <v>313</v>
      </c>
      <c r="AJ14" s="76">
        <v>673</v>
      </c>
      <c r="AK14" s="108">
        <v>0.51916376306620204</v>
      </c>
      <c r="AL14" s="108">
        <v>0.91946308724832204</v>
      </c>
      <c r="AM14" s="119" t="s">
        <v>313</v>
      </c>
      <c r="AN14">
        <v>743</v>
      </c>
      <c r="AO14" s="108">
        <v>0.55660377358490598</v>
      </c>
      <c r="AP14" s="108">
        <v>1</v>
      </c>
      <c r="AQ14" s="119" t="s">
        <v>313</v>
      </c>
      <c r="AR14" t="s">
        <v>633</v>
      </c>
      <c r="AS14" s="108">
        <v>0.474387527839644</v>
      </c>
      <c r="AT14" s="108">
        <v>0.931924882629108</v>
      </c>
      <c r="AU14" s="119" t="s">
        <v>313</v>
      </c>
      <c r="AV14">
        <v>487</v>
      </c>
      <c r="AW14" s="108">
        <v>0.55244755244755195</v>
      </c>
      <c r="AX14" s="131">
        <v>0.860759493670886</v>
      </c>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row>
    <row r="15" spans="1:149" s="1" customFormat="1">
      <c r="A15" s="9">
        <v>14</v>
      </c>
      <c r="B15" s="1" t="s">
        <v>378</v>
      </c>
      <c r="C15" s="1" t="s">
        <v>379</v>
      </c>
      <c r="D15" s="119" t="s">
        <v>313</v>
      </c>
      <c r="E15" s="9">
        <v>0.20799999999999999</v>
      </c>
      <c r="F15" s="118">
        <f>E15*Demographics!H15</f>
        <v>1440249.2</v>
      </c>
      <c r="G15" s="379" t="s">
        <v>631</v>
      </c>
      <c r="H15" s="1">
        <v>0.15</v>
      </c>
      <c r="I15" s="118">
        <f>H15*Demographics!$H15</f>
        <v>1038641.25</v>
      </c>
      <c r="J15" s="65" t="s">
        <v>632</v>
      </c>
      <c r="K15" s="1">
        <v>0.67799999999999994</v>
      </c>
      <c r="L15" s="118">
        <f>K15*Demographics!$H15</f>
        <v>4694658.4499999993</v>
      </c>
      <c r="M15" s="379" t="s">
        <v>631</v>
      </c>
      <c r="N15" s="1">
        <v>8.0000000000000002E-3</v>
      </c>
      <c r="O15" s="118">
        <f>N15*Demographics!$H15</f>
        <v>55394.200000000004</v>
      </c>
      <c r="P15" s="119" t="s">
        <v>313</v>
      </c>
      <c r="Q15">
        <v>1035</v>
      </c>
      <c r="R15" s="108">
        <v>0.48910411622276001</v>
      </c>
      <c r="S15" s="108">
        <v>0.92237442922374402</v>
      </c>
      <c r="T15" s="119" t="s">
        <v>313</v>
      </c>
      <c r="U15">
        <v>3065</v>
      </c>
      <c r="V15" s="108">
        <v>0.53703703703703698</v>
      </c>
      <c r="W15" s="108">
        <v>0.97752808988764095</v>
      </c>
      <c r="X15" s="118">
        <f>V15*W15*Demographics!$H15</f>
        <v>3635028.261548066</v>
      </c>
      <c r="Y15" s="119" t="s">
        <v>313</v>
      </c>
      <c r="Z15">
        <v>243</v>
      </c>
      <c r="AA15" s="108">
        <v>0.52941176470588203</v>
      </c>
      <c r="AB15" s="108">
        <v>0.94736842105263197</v>
      </c>
      <c r="AC15" s="118">
        <f>AA15*AB15*Demographics!$H15</f>
        <v>3472856.1919504637</v>
      </c>
      <c r="AD15" s="119" t="s">
        <v>313</v>
      </c>
      <c r="AE15">
        <v>5668</v>
      </c>
      <c r="AF15" s="108">
        <v>0.45192982456140401</v>
      </c>
      <c r="AG15" s="108">
        <v>0.90069930069930104</v>
      </c>
      <c r="AH15" s="178">
        <f>AF15*AG15*Demographics!$H15</f>
        <v>2818546.0595264426</v>
      </c>
      <c r="AI15" s="119" t="s">
        <v>313</v>
      </c>
      <c r="AJ15" s="76">
        <v>629</v>
      </c>
      <c r="AK15" s="108">
        <v>0.66891891891891897</v>
      </c>
      <c r="AL15" s="108">
        <v>0.96464646464646497</v>
      </c>
      <c r="AM15" s="119" t="s">
        <v>313</v>
      </c>
      <c r="AN15">
        <v>947</v>
      </c>
      <c r="AO15" s="108">
        <v>0.60655737704918</v>
      </c>
      <c r="AP15" s="108">
        <v>0.97297297297297303</v>
      </c>
      <c r="AQ15" s="119" t="s">
        <v>313</v>
      </c>
      <c r="AR15" t="s">
        <v>633</v>
      </c>
      <c r="AS15" s="108">
        <v>0.60431654676258995</v>
      </c>
      <c r="AT15" s="108">
        <v>0.95</v>
      </c>
      <c r="AU15" s="119" t="s">
        <v>313</v>
      </c>
      <c r="AV15">
        <v>450</v>
      </c>
      <c r="AW15" s="108">
        <v>0.55172413793103403</v>
      </c>
      <c r="AX15" s="131">
        <v>0.91249999999999998</v>
      </c>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row>
    <row r="16" spans="1:149" s="1" customFormat="1">
      <c r="A16" s="9">
        <v>15</v>
      </c>
      <c r="B16" s="1" t="s">
        <v>383</v>
      </c>
      <c r="C16" s="1" t="s">
        <v>384</v>
      </c>
      <c r="D16" s="119" t="s">
        <v>313</v>
      </c>
      <c r="E16" s="9">
        <v>0.20499999999999999</v>
      </c>
      <c r="F16" s="118">
        <f>E16*Demographics!H16</f>
        <v>664505.03999999992</v>
      </c>
      <c r="G16" s="379" t="s">
        <v>631</v>
      </c>
      <c r="H16" s="1">
        <v>0.16</v>
      </c>
      <c r="I16" s="118">
        <f>H16*Demographics!$H16</f>
        <v>518638.08000000002</v>
      </c>
      <c r="J16" s="65" t="s">
        <v>632</v>
      </c>
      <c r="K16" s="1">
        <v>0.71799999999999997</v>
      </c>
      <c r="L16" s="118">
        <f>K16*Demographics!$H16</f>
        <v>2327388.3840000001</v>
      </c>
      <c r="M16" s="379" t="s">
        <v>631</v>
      </c>
      <c r="N16" s="1">
        <v>8.0000000000000002E-3</v>
      </c>
      <c r="O16" s="118">
        <f>N16*Demographics!$H16</f>
        <v>25931.904000000002</v>
      </c>
      <c r="P16" s="119" t="s">
        <v>313</v>
      </c>
      <c r="Q16">
        <v>1048</v>
      </c>
      <c r="R16" s="108">
        <v>0.63908045977011496</v>
      </c>
      <c r="S16" s="108">
        <v>0.96193771626297597</v>
      </c>
      <c r="T16" s="119" t="s">
        <v>313</v>
      </c>
      <c r="U16">
        <v>4063</v>
      </c>
      <c r="V16" s="108">
        <v>0.57142857142857095</v>
      </c>
      <c r="W16" s="108">
        <v>0.98113207547169801</v>
      </c>
      <c r="X16" s="118">
        <f>V16*W16*Demographics!$H16</f>
        <v>1817330.1994609146</v>
      </c>
      <c r="Y16" s="119" t="s">
        <v>313</v>
      </c>
      <c r="Z16">
        <v>371</v>
      </c>
      <c r="AA16" s="108">
        <v>0.58333333333333304</v>
      </c>
      <c r="AB16" s="108">
        <v>0.95454545454545403</v>
      </c>
      <c r="AC16" s="118">
        <f>AA16*AB16*Demographics!$H16</f>
        <v>1804919.4545454525</v>
      </c>
      <c r="AD16" s="119" t="s">
        <v>313</v>
      </c>
      <c r="AE16">
        <v>5696</v>
      </c>
      <c r="AF16" s="108">
        <v>0.48005598320503901</v>
      </c>
      <c r="AG16" s="108">
        <v>0.902555847211581</v>
      </c>
      <c r="AH16" s="178">
        <f>AF16*AG16*Demographics!$H16</f>
        <v>1404463.2808771147</v>
      </c>
      <c r="AI16" s="119" t="s">
        <v>313</v>
      </c>
      <c r="AJ16" s="76">
        <v>351</v>
      </c>
      <c r="AK16" s="108">
        <v>0.68027210884353695</v>
      </c>
      <c r="AL16" s="108">
        <v>0.93</v>
      </c>
      <c r="AM16" s="119" t="s">
        <v>313</v>
      </c>
      <c r="AN16">
        <v>585</v>
      </c>
      <c r="AO16" s="108">
        <v>0.71111111111111103</v>
      </c>
      <c r="AP16" s="108">
        <v>0.96875</v>
      </c>
      <c r="AQ16" s="119" t="s">
        <v>313</v>
      </c>
      <c r="AR16" t="s">
        <v>633</v>
      </c>
      <c r="AS16" s="108">
        <v>0.55364806866952798</v>
      </c>
      <c r="AT16" s="108">
        <v>0.93798449612403101</v>
      </c>
      <c r="AU16" s="119" t="s">
        <v>313</v>
      </c>
      <c r="AV16">
        <v>393</v>
      </c>
      <c r="AW16" s="108">
        <v>0.44274809160305301</v>
      </c>
      <c r="AX16" s="131">
        <v>0.94827586206896497</v>
      </c>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row>
    <row r="17" spans="1:149" s="1" customFormat="1">
      <c r="A17" s="9">
        <v>16</v>
      </c>
      <c r="B17" s="1" t="s">
        <v>388</v>
      </c>
      <c r="C17" s="1" t="s">
        <v>389</v>
      </c>
      <c r="D17" s="119" t="s">
        <v>313</v>
      </c>
      <c r="E17" s="9">
        <v>0.14399999999999999</v>
      </c>
      <c r="F17" s="118">
        <f>E17*Demographics!H17</f>
        <v>427767.26399999997</v>
      </c>
      <c r="G17" s="379" t="s">
        <v>631</v>
      </c>
      <c r="H17" s="1">
        <v>0.155</v>
      </c>
      <c r="I17" s="118">
        <f>H17*Demographics!$H17</f>
        <v>460443.93</v>
      </c>
      <c r="J17" s="65" t="s">
        <v>632</v>
      </c>
      <c r="K17" s="1">
        <v>0.73199999999999998</v>
      </c>
      <c r="L17" s="118">
        <f>K17*Demographics!$H17</f>
        <v>2174483.5920000002</v>
      </c>
      <c r="M17" s="379" t="s">
        <v>631</v>
      </c>
      <c r="N17" s="1">
        <v>1.7999999999999999E-2</v>
      </c>
      <c r="O17" s="118">
        <f>N17*Demographics!$H17</f>
        <v>53470.907999999996</v>
      </c>
      <c r="P17" s="119" t="s">
        <v>313</v>
      </c>
      <c r="Q17">
        <v>314</v>
      </c>
      <c r="R17" s="108">
        <v>0.66666666666666696</v>
      </c>
      <c r="S17" s="108">
        <v>0.987341772151899</v>
      </c>
      <c r="T17" s="119" t="s">
        <v>313</v>
      </c>
      <c r="U17">
        <v>3570</v>
      </c>
      <c r="V17" s="108">
        <v>0.72972972972973005</v>
      </c>
      <c r="W17" s="108">
        <v>0.98780487804878003</v>
      </c>
      <c r="X17" s="118">
        <f>V17*W17*Demographics!$H17</f>
        <v>2141303.6657877387</v>
      </c>
      <c r="Y17" s="119" t="s">
        <v>313</v>
      </c>
      <c r="Z17">
        <v>395</v>
      </c>
      <c r="AA17" s="108">
        <v>0.64814814814814803</v>
      </c>
      <c r="AB17" s="108">
        <v>0.97222222222222199</v>
      </c>
      <c r="AC17" s="118">
        <f>AA17*AB17*Demographics!$H17</f>
        <v>1871909.6450617276</v>
      </c>
      <c r="AD17" s="119" t="s">
        <v>313</v>
      </c>
      <c r="AE17">
        <v>5250</v>
      </c>
      <c r="AF17" s="108">
        <v>0.45986496624155998</v>
      </c>
      <c r="AG17" s="108">
        <v>0.90814814814814804</v>
      </c>
      <c r="AH17" s="178">
        <f>AF17*AG17*Demographics!$H17</f>
        <v>1240600.8680103347</v>
      </c>
      <c r="AI17" s="119" t="s">
        <v>313</v>
      </c>
      <c r="AJ17" s="76">
        <v>170</v>
      </c>
      <c r="AK17" s="108">
        <v>0.68918918918918903</v>
      </c>
      <c r="AL17" s="108">
        <v>0.98039215686274495</v>
      </c>
      <c r="AM17" s="119" t="s">
        <v>313</v>
      </c>
      <c r="AN17">
        <v>594</v>
      </c>
      <c r="AO17" s="108">
        <v>0.77777777777777801</v>
      </c>
      <c r="AP17" s="108">
        <v>1</v>
      </c>
      <c r="AQ17" s="119" t="s">
        <v>313</v>
      </c>
      <c r="AR17" t="s">
        <v>633</v>
      </c>
      <c r="AS17" s="108">
        <v>0.63559322033898302</v>
      </c>
      <c r="AT17" s="108">
        <v>0.94666666666666699</v>
      </c>
      <c r="AU17" s="119" t="s">
        <v>313</v>
      </c>
      <c r="AV17">
        <v>493</v>
      </c>
      <c r="AW17" s="108">
        <v>0.58115183246073299</v>
      </c>
      <c r="AX17" s="131">
        <v>0.90990990990991005</v>
      </c>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row>
    <row r="18" spans="1:149" s="1" customFormat="1">
      <c r="A18" s="9">
        <v>17</v>
      </c>
      <c r="B18" s="1" t="s">
        <v>393</v>
      </c>
      <c r="C18" s="1" t="s">
        <v>394</v>
      </c>
      <c r="D18" s="119" t="s">
        <v>313</v>
      </c>
      <c r="E18" s="9">
        <v>0.27900000000000003</v>
      </c>
      <c r="F18" s="118">
        <f>E18*Demographics!H18</f>
        <v>1280155.7880000002</v>
      </c>
      <c r="G18" s="379" t="s">
        <v>631</v>
      </c>
      <c r="H18" s="1">
        <v>0.156</v>
      </c>
      <c r="I18" s="118">
        <f>H18*Demographics!$H18</f>
        <v>715786.03200000001</v>
      </c>
      <c r="J18" s="65" t="s">
        <v>632</v>
      </c>
      <c r="K18" s="1">
        <v>0.628</v>
      </c>
      <c r="L18" s="118">
        <f>K18*Demographics!$H18</f>
        <v>2881497.6159999999</v>
      </c>
      <c r="M18" s="379" t="s">
        <v>631</v>
      </c>
      <c r="N18" s="1">
        <v>1.2999999999999999E-2</v>
      </c>
      <c r="O18" s="118">
        <f>N18*Demographics!$H18</f>
        <v>59648.835999999996</v>
      </c>
      <c r="P18" s="119" t="s">
        <v>313</v>
      </c>
      <c r="Q18" s="337">
        <f t="shared" ref="Q18:W18" si="0">Q3</f>
        <v>272</v>
      </c>
      <c r="R18" s="335">
        <f t="shared" si="0"/>
        <v>0.65322580645161299</v>
      </c>
      <c r="S18" s="335">
        <f t="shared" si="0"/>
        <v>0.94186046511627897</v>
      </c>
      <c r="T18" s="338" t="str">
        <f t="shared" si="0"/>
        <v>https://www.cdc.gov/brfss/brfssprevalence/index.html</v>
      </c>
      <c r="U18" s="337">
        <f t="shared" si="0"/>
        <v>1785</v>
      </c>
      <c r="V18" s="335">
        <f t="shared" si="0"/>
        <v>0.86842105263157898</v>
      </c>
      <c r="W18" s="335">
        <f t="shared" si="0"/>
        <v>0.97058823529411797</v>
      </c>
      <c r="X18" s="339">
        <f>V18*W18*Demographics!H18</f>
        <v>3867443.5820433451</v>
      </c>
      <c r="Y18" s="332" t="s">
        <v>313</v>
      </c>
      <c r="Z18" s="337">
        <f>Z49</f>
        <v>455</v>
      </c>
      <c r="AA18" s="335">
        <f>AA49</f>
        <v>0.65625</v>
      </c>
      <c r="AB18" s="335">
        <f>AB49</f>
        <v>0.875</v>
      </c>
      <c r="AC18" s="339">
        <f>AA18*AB18*Demographics!$H18</f>
        <v>2634729.234375</v>
      </c>
      <c r="AD18" s="332" t="s">
        <v>313</v>
      </c>
      <c r="AE18" s="340">
        <f>AE49</f>
        <v>4856</v>
      </c>
      <c r="AF18" s="338">
        <f>AF49</f>
        <v>0.48380566801619401</v>
      </c>
      <c r="AG18" s="338">
        <f>AG49</f>
        <v>0.87706422018348595</v>
      </c>
      <c r="AH18" s="341">
        <f>AF18*AG18*Demographics!$H18</f>
        <v>1946977.6548824406</v>
      </c>
      <c r="AI18" s="332" t="s">
        <v>313</v>
      </c>
      <c r="AJ18" s="342"/>
      <c r="AK18" s="338">
        <v>0.816455696202532</v>
      </c>
      <c r="AL18" s="338">
        <v>0.97674418604651203</v>
      </c>
      <c r="AM18" s="332" t="s">
        <v>313</v>
      </c>
      <c r="AN18" s="337"/>
      <c r="AO18" s="343">
        <v>0.71794871794871795</v>
      </c>
      <c r="AP18" s="343">
        <v>0.92857142857142805</v>
      </c>
      <c r="AQ18" s="332" t="s">
        <v>313</v>
      </c>
      <c r="AR18" t="s">
        <v>633</v>
      </c>
      <c r="AS18" s="338">
        <v>0.77319587628866004</v>
      </c>
      <c r="AT18" s="338">
        <v>0.96444444444444399</v>
      </c>
      <c r="AU18" s="332" t="s">
        <v>313</v>
      </c>
      <c r="AV18" s="340"/>
      <c r="AW18" s="338">
        <v>0.66</v>
      </c>
      <c r="AX18" s="338">
        <v>0.96969696969696995</v>
      </c>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row>
    <row r="19" spans="1:149" s="1" customFormat="1">
      <c r="A19" s="9">
        <v>18</v>
      </c>
      <c r="B19" s="1" t="s">
        <v>398</v>
      </c>
      <c r="C19" s="1" t="s">
        <v>399</v>
      </c>
      <c r="D19" s="119" t="s">
        <v>313</v>
      </c>
      <c r="E19" s="9">
        <v>0.32200000000000001</v>
      </c>
      <c r="F19" s="118">
        <f>E19*Demographics!H19</f>
        <v>1480472.28</v>
      </c>
      <c r="G19" s="379" t="s">
        <v>631</v>
      </c>
      <c r="H19" s="1">
        <v>0.14199999999999999</v>
      </c>
      <c r="I19" s="118">
        <f>H19*Demographics!$H19</f>
        <v>652879.07999999996</v>
      </c>
      <c r="J19" s="65" t="s">
        <v>632</v>
      </c>
      <c r="K19" s="1">
        <v>0.57700000000000007</v>
      </c>
      <c r="L19" s="118">
        <f>K19*Demographics!$H19</f>
        <v>2652895.9800000004</v>
      </c>
      <c r="M19" s="379" t="s">
        <v>631</v>
      </c>
      <c r="N19" s="1">
        <v>1.2E-2</v>
      </c>
      <c r="O19" s="118">
        <f>N19*Demographics!$H19</f>
        <v>55172.880000000005</v>
      </c>
      <c r="P19" s="119" t="s">
        <v>313</v>
      </c>
      <c r="Q19">
        <v>678</v>
      </c>
      <c r="R19" s="108">
        <v>0.63218390804597702</v>
      </c>
      <c r="S19" s="108">
        <v>0.95930232558139505</v>
      </c>
      <c r="T19" s="119" t="s">
        <v>313</v>
      </c>
      <c r="U19">
        <v>1353</v>
      </c>
      <c r="V19" s="108">
        <v>0.71428571428571397</v>
      </c>
      <c r="W19" s="108">
        <v>0.90909090909090895</v>
      </c>
      <c r="X19" s="118">
        <f>V19*W19*Demographics!$H19</f>
        <v>2985545.4545454532</v>
      </c>
      <c r="Y19" s="119" t="s">
        <v>313</v>
      </c>
      <c r="Z19">
        <v>185</v>
      </c>
      <c r="AA19" s="108">
        <v>0.57142857142857095</v>
      </c>
      <c r="AB19" s="108">
        <v>0.94117647058823495</v>
      </c>
      <c r="AC19" s="118">
        <f>AA19*AB19*Demographics!$H19</f>
        <v>2472734.1176470555</v>
      </c>
      <c r="AD19" s="119" t="s">
        <v>313</v>
      </c>
      <c r="AE19">
        <v>1767</v>
      </c>
      <c r="AF19" s="108">
        <v>0.48705882352941199</v>
      </c>
      <c r="AG19" s="108">
        <v>0.94520547945205502</v>
      </c>
      <c r="AH19" s="178">
        <f>AF19*AG19*Demographics!$H19</f>
        <v>2116664.6388396472</v>
      </c>
      <c r="AI19" s="119" t="s">
        <v>313</v>
      </c>
      <c r="AJ19" s="76">
        <v>392</v>
      </c>
      <c r="AK19" s="108">
        <v>0.69565217391304301</v>
      </c>
      <c r="AL19" s="108">
        <v>0.96428571428571397</v>
      </c>
      <c r="AM19" s="119" t="s">
        <v>313</v>
      </c>
      <c r="AN19">
        <v>369</v>
      </c>
      <c r="AO19" s="108">
        <v>0.95</v>
      </c>
      <c r="AP19" s="108">
        <v>0.89473684210526305</v>
      </c>
      <c r="AQ19" s="119" t="s">
        <v>313</v>
      </c>
      <c r="AR19" t="s">
        <v>633</v>
      </c>
      <c r="AS19" s="108">
        <v>0.6875</v>
      </c>
      <c r="AT19" s="108">
        <v>0.946524064171123</v>
      </c>
      <c r="AU19" s="119" t="s">
        <v>313</v>
      </c>
      <c r="AV19">
        <v>131</v>
      </c>
      <c r="AW19" s="108">
        <v>0.61363636363636398</v>
      </c>
      <c r="AX19" s="131">
        <v>0.92592592592592604</v>
      </c>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row>
    <row r="20" spans="1:149" s="1" customFormat="1">
      <c r="A20" s="9">
        <v>19</v>
      </c>
      <c r="B20" s="1" t="s">
        <v>403</v>
      </c>
      <c r="C20" s="1" t="s">
        <v>404</v>
      </c>
      <c r="D20" s="119" t="s">
        <v>313</v>
      </c>
      <c r="E20" s="9">
        <v>0.214</v>
      </c>
      <c r="F20" s="118">
        <f>E20*Demographics!H20</f>
        <v>300672.56799999997</v>
      </c>
      <c r="G20" s="379" t="s">
        <v>631</v>
      </c>
      <c r="H20" s="1">
        <v>0.188</v>
      </c>
      <c r="I20" s="118">
        <f>H20*Demographics!$H20</f>
        <v>264142.25599999999</v>
      </c>
      <c r="J20" s="65" t="s">
        <v>632</v>
      </c>
      <c r="K20" s="1">
        <v>0.67500000000000004</v>
      </c>
      <c r="L20" s="118">
        <f>K20*Demographics!$H20</f>
        <v>948383.10000000009</v>
      </c>
      <c r="M20" s="379" t="s">
        <v>631</v>
      </c>
      <c r="N20" s="1">
        <v>1.2E-2</v>
      </c>
      <c r="O20" s="118">
        <f>N20*Demographics!$H20</f>
        <v>16860.144</v>
      </c>
      <c r="P20" s="119" t="s">
        <v>313</v>
      </c>
      <c r="Q20">
        <v>1065</v>
      </c>
      <c r="R20" s="108">
        <v>0.46783625730994099</v>
      </c>
      <c r="S20" s="108">
        <v>0.91954022988505701</v>
      </c>
      <c r="T20" s="119" t="s">
        <v>313</v>
      </c>
      <c r="U20">
        <v>2463</v>
      </c>
      <c r="V20" s="108">
        <v>0.52500000000000002</v>
      </c>
      <c r="W20" s="108">
        <v>0.875</v>
      </c>
      <c r="X20" s="118">
        <f>V20*W20*Demographics!$H20</f>
        <v>645427.38750000007</v>
      </c>
      <c r="Y20" s="119" t="s">
        <v>313</v>
      </c>
      <c r="Z20">
        <v>142</v>
      </c>
      <c r="AA20" s="108">
        <v>0.18181818181818199</v>
      </c>
      <c r="AB20" s="108">
        <v>0.5</v>
      </c>
      <c r="AC20" s="118">
        <f>AA20*AB20*Demographics!$H20</f>
        <v>127728.36363636376</v>
      </c>
      <c r="AD20" s="119" t="s">
        <v>313</v>
      </c>
      <c r="AE20">
        <v>4661</v>
      </c>
      <c r="AF20" s="108">
        <v>0.42830009496676202</v>
      </c>
      <c r="AG20" s="108">
        <v>0.87403100775193798</v>
      </c>
      <c r="AH20" s="178">
        <f>AF20*AG20*Demographics!$H20</f>
        <v>525962.81906255335</v>
      </c>
      <c r="AI20" s="119" t="s">
        <v>313</v>
      </c>
      <c r="AJ20" s="76">
        <v>677</v>
      </c>
      <c r="AK20" s="108">
        <v>0.80751173708920199</v>
      </c>
      <c r="AL20" s="108">
        <v>0.95348837209302295</v>
      </c>
      <c r="AM20" s="119" t="s">
        <v>313</v>
      </c>
      <c r="AN20">
        <v>1079</v>
      </c>
      <c r="AO20" s="108">
        <v>0.90476190476190499</v>
      </c>
      <c r="AP20" s="108">
        <v>0.97368421052631604</v>
      </c>
      <c r="AQ20" s="119" t="s">
        <v>313</v>
      </c>
      <c r="AR20" t="s">
        <v>633</v>
      </c>
      <c r="AS20" s="108">
        <v>0.75550122249388796</v>
      </c>
      <c r="AT20" s="108">
        <v>0.95145631067961201</v>
      </c>
      <c r="AU20" s="119" t="s">
        <v>313</v>
      </c>
      <c r="AV20">
        <v>348</v>
      </c>
      <c r="AW20" s="108">
        <v>0.62921348314606695</v>
      </c>
      <c r="AX20" s="131">
        <v>0.92857142857142905</v>
      </c>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row>
    <row r="21" spans="1:149" s="1" customFormat="1">
      <c r="A21" s="9">
        <v>20</v>
      </c>
      <c r="B21" s="1" t="s">
        <v>408</v>
      </c>
      <c r="C21" s="1" t="s">
        <v>409</v>
      </c>
      <c r="D21" s="119" t="s">
        <v>313</v>
      </c>
      <c r="E21" s="9">
        <v>0.189</v>
      </c>
      <c r="F21" s="118">
        <f>E21*Demographics!H21</f>
        <v>1183748.58</v>
      </c>
      <c r="G21" s="379" t="s">
        <v>631</v>
      </c>
      <c r="H21" s="1">
        <v>0.13600000000000001</v>
      </c>
      <c r="I21" s="118">
        <f>H21*Demographics!$H21</f>
        <v>851797.92</v>
      </c>
      <c r="J21" s="65" t="s">
        <v>632</v>
      </c>
      <c r="K21" s="1">
        <v>0.73099999999999998</v>
      </c>
      <c r="L21" s="118">
        <f>K21*Demographics!$H21</f>
        <v>4578413.82</v>
      </c>
      <c r="M21" s="379" t="s">
        <v>631</v>
      </c>
      <c r="N21" s="1">
        <v>1.6E-2</v>
      </c>
      <c r="O21" s="118">
        <f>N21*Demographics!$H21</f>
        <v>100211.52</v>
      </c>
      <c r="P21" s="119" t="s">
        <v>313</v>
      </c>
      <c r="Q21">
        <v>840</v>
      </c>
      <c r="R21" s="108">
        <v>0.56011730205278598</v>
      </c>
      <c r="S21" s="108">
        <v>0.91826923076923095</v>
      </c>
      <c r="T21" s="119" t="s">
        <v>313</v>
      </c>
      <c r="U21">
        <v>4600</v>
      </c>
      <c r="V21" s="108">
        <v>0.63551401869158897</v>
      </c>
      <c r="W21" s="108">
        <v>0.97142857142857097</v>
      </c>
      <c r="X21" s="118">
        <f>V21*W21*Demographics!$H21</f>
        <v>3866639.4232309735</v>
      </c>
      <c r="Y21" s="119" t="s">
        <v>313</v>
      </c>
      <c r="Z21">
        <v>529</v>
      </c>
      <c r="AA21" s="108">
        <v>0.546875</v>
      </c>
      <c r="AB21" s="108">
        <v>1</v>
      </c>
      <c r="AC21" s="118">
        <f>AA21*AB21*Demographics!$H21</f>
        <v>3425198.4375</v>
      </c>
      <c r="AD21" s="119" t="s">
        <v>313</v>
      </c>
      <c r="AE21">
        <v>6505</v>
      </c>
      <c r="AF21" s="108">
        <v>0.44179320318149001</v>
      </c>
      <c r="AG21" s="108">
        <v>0.90251107828655797</v>
      </c>
      <c r="AH21" s="178">
        <f>AF21*AG21*Demographics!$H21</f>
        <v>2497291.4976433623</v>
      </c>
      <c r="AI21" s="119" t="s">
        <v>313</v>
      </c>
      <c r="AJ21" s="76">
        <v>449</v>
      </c>
      <c r="AK21" s="108">
        <v>0.62051282051282097</v>
      </c>
      <c r="AL21" s="108">
        <v>0.94214876033057904</v>
      </c>
      <c r="AM21" s="119" t="s">
        <v>313</v>
      </c>
      <c r="AN21">
        <v>865</v>
      </c>
      <c r="AO21" s="108">
        <v>0.66666666666666696</v>
      </c>
      <c r="AP21" s="108">
        <v>0.97826086956521696</v>
      </c>
      <c r="AQ21" s="119" t="s">
        <v>313</v>
      </c>
      <c r="AR21" t="s">
        <v>633</v>
      </c>
      <c r="AS21" s="108">
        <v>0.50655737704918002</v>
      </c>
      <c r="AT21" s="108">
        <v>0.95469255663430397</v>
      </c>
      <c r="AU21" s="119" t="s">
        <v>313</v>
      </c>
      <c r="AV21">
        <v>349</v>
      </c>
      <c r="AW21" s="108">
        <v>0.46808510638297901</v>
      </c>
      <c r="AX21" s="131">
        <v>0.90909090909090895</v>
      </c>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row>
    <row r="22" spans="1:149" s="1" customFormat="1">
      <c r="A22" s="9">
        <v>21</v>
      </c>
      <c r="B22" s="1" t="s">
        <v>413</v>
      </c>
      <c r="C22" s="1" t="s">
        <v>414</v>
      </c>
      <c r="D22" s="119" t="s">
        <v>313</v>
      </c>
      <c r="E22" s="9">
        <v>0.23599999999999999</v>
      </c>
      <c r="F22" s="118">
        <f>E22*Demographics!H22</f>
        <v>1684136.3559999999</v>
      </c>
      <c r="G22" s="379" t="s">
        <v>631</v>
      </c>
      <c r="H22" s="1">
        <v>0.13500000000000001</v>
      </c>
      <c r="I22" s="118">
        <f>H22*Demographics!$H22</f>
        <v>963383.08500000008</v>
      </c>
      <c r="J22" s="65" t="s">
        <v>632</v>
      </c>
      <c r="K22" s="1">
        <v>0.73099999999999998</v>
      </c>
      <c r="L22" s="118">
        <f>K22*Demographics!$H22</f>
        <v>5216541.0010000002</v>
      </c>
      <c r="M22" s="379" t="s">
        <v>631</v>
      </c>
      <c r="N22" s="1">
        <v>4.0000000000000001E-3</v>
      </c>
      <c r="O22" s="118">
        <f>N22*Demographics!$H22</f>
        <v>28544.684000000001</v>
      </c>
      <c r="P22" s="119" t="s">
        <v>313</v>
      </c>
      <c r="Q22">
        <v>1157</v>
      </c>
      <c r="R22" s="108">
        <v>0.75852272727272696</v>
      </c>
      <c r="S22" s="108">
        <v>0.95017793594305999</v>
      </c>
      <c r="T22" s="119" t="s">
        <v>313</v>
      </c>
      <c r="U22">
        <v>4368</v>
      </c>
      <c r="V22" s="108">
        <v>0.79569892473118298</v>
      </c>
      <c r="W22" s="108">
        <v>0.936708860759494</v>
      </c>
      <c r="X22" s="118">
        <f>V22*W22*Demographics!$H22</f>
        <v>5318861.085613179</v>
      </c>
      <c r="Y22" s="119" t="s">
        <v>313</v>
      </c>
      <c r="Z22">
        <v>617</v>
      </c>
      <c r="AA22" s="108">
        <v>0.61111111111111105</v>
      </c>
      <c r="AB22" s="108">
        <v>0.891891891891892</v>
      </c>
      <c r="AC22" s="118">
        <f>AA22*AB22*Demographics!$H22</f>
        <v>3889534.6441441439</v>
      </c>
      <c r="AD22" s="119" t="s">
        <v>313</v>
      </c>
      <c r="AE22">
        <v>4612</v>
      </c>
      <c r="AF22" s="108">
        <v>0.50047755491881596</v>
      </c>
      <c r="AG22" s="108">
        <v>0.87625418060200699</v>
      </c>
      <c r="AH22" s="178">
        <f>AF22*AG22*Demographics!$H22</f>
        <v>3129536.0346267275</v>
      </c>
      <c r="AI22" s="119" t="s">
        <v>313</v>
      </c>
      <c r="AJ22" s="76">
        <v>509</v>
      </c>
      <c r="AK22" s="108">
        <v>0.52972972972972998</v>
      </c>
      <c r="AL22" s="108">
        <v>0.93877551020408201</v>
      </c>
      <c r="AM22" s="119" t="s">
        <v>313</v>
      </c>
      <c r="AN22">
        <v>389</v>
      </c>
      <c r="AO22" s="108">
        <v>0.68</v>
      </c>
      <c r="AP22" s="108">
        <v>0.82352941176470595</v>
      </c>
      <c r="AQ22" s="119" t="s">
        <v>313</v>
      </c>
      <c r="AR22" t="s">
        <v>633</v>
      </c>
      <c r="AS22" s="108">
        <v>0.52266666666666695</v>
      </c>
      <c r="AT22" s="108">
        <v>0.90306122448979598</v>
      </c>
      <c r="AU22" s="119" t="s">
        <v>313</v>
      </c>
      <c r="AV22">
        <v>254</v>
      </c>
      <c r="AW22" s="108">
        <v>0.547619047619048</v>
      </c>
      <c r="AX22" s="131">
        <v>0.86956521739130399</v>
      </c>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row>
    <row r="23" spans="1:149" s="1" customFormat="1">
      <c r="A23" s="9">
        <v>22</v>
      </c>
      <c r="B23" s="1" t="s">
        <v>418</v>
      </c>
      <c r="C23" s="1" t="s">
        <v>419</v>
      </c>
      <c r="D23" s="119" t="s">
        <v>313</v>
      </c>
      <c r="E23" s="9">
        <v>0.23899999999999999</v>
      </c>
      <c r="F23" s="118">
        <f>E23*Demographics!H23</f>
        <v>2423569.7009999999</v>
      </c>
      <c r="G23" s="379" t="s">
        <v>631</v>
      </c>
      <c r="H23" s="1">
        <v>0.16400000000000001</v>
      </c>
      <c r="I23" s="118">
        <f>H23*Demographics!$H23</f>
        <v>1663035.2760000001</v>
      </c>
      <c r="J23" s="65" t="s">
        <v>632</v>
      </c>
      <c r="K23" s="1">
        <v>0.69900000000000007</v>
      </c>
      <c r="L23" s="118">
        <f>K23*Demographics!$H23</f>
        <v>7088180.8410000009</v>
      </c>
      <c r="M23" s="379" t="s">
        <v>631</v>
      </c>
      <c r="N23" s="1">
        <v>5.0000000000000001E-3</v>
      </c>
      <c r="O23" s="118">
        <f>N23*Demographics!$H23</f>
        <v>50702.294999999998</v>
      </c>
      <c r="P23" s="119" t="s">
        <v>313</v>
      </c>
      <c r="Q23">
        <v>1004</v>
      </c>
      <c r="R23" s="108">
        <v>0.67138810198300303</v>
      </c>
      <c r="S23" s="108">
        <v>0.97933884297520701</v>
      </c>
      <c r="T23" s="119" t="s">
        <v>313</v>
      </c>
      <c r="U23">
        <v>4037</v>
      </c>
      <c r="V23" s="108">
        <v>0.78125</v>
      </c>
      <c r="W23" s="108">
        <v>0.96153846153846201</v>
      </c>
      <c r="X23" s="118">
        <f>V23*W23*Demographics!$H23</f>
        <v>7617532.3016826957</v>
      </c>
      <c r="Y23" s="119" t="s">
        <v>313</v>
      </c>
      <c r="Z23">
        <v>253</v>
      </c>
      <c r="AA23" s="108">
        <v>0.5</v>
      </c>
      <c r="AB23" s="108">
        <v>1</v>
      </c>
      <c r="AC23" s="118">
        <f>AA23*AB23*Demographics!$H23</f>
        <v>5070229.5</v>
      </c>
      <c r="AD23" s="119" t="s">
        <v>313</v>
      </c>
      <c r="AE23">
        <v>4746</v>
      </c>
      <c r="AF23" s="108">
        <v>0.5</v>
      </c>
      <c r="AG23" s="108">
        <v>0.90569395017793597</v>
      </c>
      <c r="AH23" s="178">
        <f>AF23*AG23*Demographics!$H23</f>
        <v>4592076.1841637008</v>
      </c>
      <c r="AI23" s="119" t="s">
        <v>313</v>
      </c>
      <c r="AJ23" s="76">
        <v>631</v>
      </c>
      <c r="AK23" s="108">
        <v>0.67234042553191498</v>
      </c>
      <c r="AL23" s="108">
        <v>0.968354430379747</v>
      </c>
      <c r="AM23" s="119" t="s">
        <v>313</v>
      </c>
      <c r="AN23">
        <v>971</v>
      </c>
      <c r="AO23" s="108">
        <v>0.81081081081081097</v>
      </c>
      <c r="AP23" s="108">
        <v>0.96666666666666701</v>
      </c>
      <c r="AQ23" s="119" t="s">
        <v>313</v>
      </c>
      <c r="AR23" t="s">
        <v>633</v>
      </c>
      <c r="AS23" s="108">
        <v>0.664621676891616</v>
      </c>
      <c r="AT23" s="108">
        <v>0.95384615384615401</v>
      </c>
      <c r="AU23" s="119" t="s">
        <v>313</v>
      </c>
      <c r="AV23">
        <v>401</v>
      </c>
      <c r="AW23" s="108">
        <v>0.6</v>
      </c>
      <c r="AX23" s="131">
        <v>0.95652173913043503</v>
      </c>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row>
    <row r="24" spans="1:149" s="1" customFormat="1">
      <c r="A24" s="9">
        <v>23</v>
      </c>
      <c r="B24" s="1" t="s">
        <v>424</v>
      </c>
      <c r="C24" s="1" t="s">
        <v>425</v>
      </c>
      <c r="D24" s="119" t="s">
        <v>313</v>
      </c>
      <c r="E24" s="9">
        <v>0.183</v>
      </c>
      <c r="F24" s="118">
        <f>E24*Demographics!H24</f>
        <v>1060146.6329999999</v>
      </c>
      <c r="G24" s="379" t="s">
        <v>631</v>
      </c>
      <c r="H24" s="1">
        <v>0.155</v>
      </c>
      <c r="I24" s="118">
        <f>H24*Demographics!$H24</f>
        <v>897938.40500000003</v>
      </c>
      <c r="J24" s="65" t="s">
        <v>632</v>
      </c>
      <c r="K24" s="1">
        <v>0.75</v>
      </c>
      <c r="L24" s="118">
        <f>K24*Demographics!$H24</f>
        <v>4344863.25</v>
      </c>
      <c r="M24" s="379" t="s">
        <v>631</v>
      </c>
      <c r="N24" s="1">
        <v>7.0000000000000001E-3</v>
      </c>
      <c r="O24" s="118">
        <f>N24*Demographics!$H24</f>
        <v>40552.057000000001</v>
      </c>
      <c r="P24" s="119" t="s">
        <v>313</v>
      </c>
      <c r="Q24">
        <v>339</v>
      </c>
      <c r="R24" s="108">
        <v>0.70940170940170899</v>
      </c>
      <c r="S24" s="108">
        <v>0.95402298850574696</v>
      </c>
      <c r="T24" s="119" t="s">
        <v>313</v>
      </c>
      <c r="U24">
        <v>4504</v>
      </c>
      <c r="V24" s="108">
        <v>0.60176991150442505</v>
      </c>
      <c r="W24" s="108">
        <v>0.98550724637681197</v>
      </c>
      <c r="X24" s="118">
        <f>V24*W24*Demographics!$H24</f>
        <v>3435620.1390278339</v>
      </c>
      <c r="Y24" s="119" t="s">
        <v>313</v>
      </c>
      <c r="Z24">
        <v>364</v>
      </c>
      <c r="AA24" s="108">
        <v>0.52173913043478304</v>
      </c>
      <c r="AB24" s="108">
        <v>1</v>
      </c>
      <c r="AC24" s="118">
        <f>AA24*AB24*Demographics!$H24</f>
        <v>3022513.5652173939</v>
      </c>
      <c r="AD24" s="119" t="s">
        <v>313</v>
      </c>
      <c r="AE24">
        <v>7433</v>
      </c>
      <c r="AF24" s="108">
        <v>0.49519230769230799</v>
      </c>
      <c r="AG24" s="108">
        <v>0.91251384274640102</v>
      </c>
      <c r="AH24" s="178">
        <f>AF24*AG24*Demographics!$H24</f>
        <v>2617750.1899224827</v>
      </c>
      <c r="AI24" s="119" t="s">
        <v>313</v>
      </c>
      <c r="AJ24" s="76">
        <v>177</v>
      </c>
      <c r="AK24" s="108">
        <v>0.77777777777777801</v>
      </c>
      <c r="AL24" s="108">
        <v>0.96428571428571397</v>
      </c>
      <c r="AM24" s="119" t="s">
        <v>313</v>
      </c>
      <c r="AN24">
        <v>779</v>
      </c>
      <c r="AO24" s="108">
        <v>0.58064516129032295</v>
      </c>
      <c r="AP24" s="108">
        <v>1</v>
      </c>
      <c r="AQ24" s="119" t="s">
        <v>313</v>
      </c>
      <c r="AR24" t="s">
        <v>633</v>
      </c>
      <c r="AS24" s="108">
        <v>0.53996447602131403</v>
      </c>
      <c r="AT24" s="108">
        <v>0.95065789473684204</v>
      </c>
      <c r="AU24" s="119" t="s">
        <v>313</v>
      </c>
      <c r="AV24">
        <v>431</v>
      </c>
      <c r="AW24" s="108">
        <v>0.53076923076923099</v>
      </c>
      <c r="AX24" s="131">
        <v>0.89855072463768104</v>
      </c>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row>
    <row r="25" spans="1:149" s="1" customFormat="1">
      <c r="A25" s="9">
        <v>24</v>
      </c>
      <c r="B25" s="1" t="s">
        <v>429</v>
      </c>
      <c r="C25" s="1" t="s">
        <v>430</v>
      </c>
      <c r="D25" s="119" t="s">
        <v>313</v>
      </c>
      <c r="E25" s="9">
        <v>0.23499999999999999</v>
      </c>
      <c r="F25" s="118">
        <f>E25*Demographics!H25</f>
        <v>691615.57499999995</v>
      </c>
      <c r="G25" s="379" t="s">
        <v>631</v>
      </c>
      <c r="H25" s="1">
        <v>0.15</v>
      </c>
      <c r="I25" s="118">
        <f>H25*Demographics!$H25</f>
        <v>441456.75</v>
      </c>
      <c r="J25" s="65" t="s">
        <v>632</v>
      </c>
      <c r="K25" s="1">
        <v>0.621</v>
      </c>
      <c r="L25" s="118">
        <f>K25*Demographics!$H25</f>
        <v>1827630.9450000001</v>
      </c>
      <c r="M25" s="379" t="s">
        <v>631</v>
      </c>
      <c r="N25" s="1">
        <v>1.7999999999999999E-2</v>
      </c>
      <c r="O25" s="118">
        <f>N25*Demographics!$H25</f>
        <v>52974.81</v>
      </c>
      <c r="P25" s="119" t="s">
        <v>313</v>
      </c>
      <c r="Q25">
        <v>554</v>
      </c>
      <c r="R25" s="108">
        <v>0.62608695652173896</v>
      </c>
      <c r="S25" s="108">
        <v>0.94736842105263197</v>
      </c>
      <c r="T25" s="119" t="s">
        <v>313</v>
      </c>
      <c r="U25">
        <v>2353</v>
      </c>
      <c r="V25" s="108">
        <v>0.65116279069767402</v>
      </c>
      <c r="W25" s="108">
        <v>0.90322580645161299</v>
      </c>
      <c r="X25" s="118">
        <f>V25*W25*Demographics!$H25</f>
        <v>1730943.1957989486</v>
      </c>
      <c r="Y25" s="119" t="s">
        <v>313</v>
      </c>
      <c r="Z25">
        <v>260</v>
      </c>
      <c r="AA25" s="108">
        <v>0.48571428571428599</v>
      </c>
      <c r="AB25" s="108">
        <v>1</v>
      </c>
      <c r="AC25" s="118">
        <f>AA25*AB25*Demographics!$H25</f>
        <v>1429479.0000000007</v>
      </c>
      <c r="AD25" s="119" t="s">
        <v>313</v>
      </c>
      <c r="AE25">
        <v>3290</v>
      </c>
      <c r="AF25" s="108">
        <v>0.442922374429224</v>
      </c>
      <c r="AG25" s="108">
        <v>0.90129552936179202</v>
      </c>
      <c r="AH25" s="178">
        <f>AF25*AG25*Demographics!$H25</f>
        <v>1174875.2064722646</v>
      </c>
      <c r="AI25" s="119" t="s">
        <v>313</v>
      </c>
      <c r="AJ25" s="76">
        <v>133</v>
      </c>
      <c r="AK25" s="108">
        <v>0.63013698630137005</v>
      </c>
      <c r="AL25" s="108">
        <v>0.95652173913043503</v>
      </c>
      <c r="AM25" s="119" t="s">
        <v>313</v>
      </c>
      <c r="AN25">
        <v>205</v>
      </c>
      <c r="AO25" s="108">
        <v>0.71428571428571397</v>
      </c>
      <c r="AP25" s="108">
        <v>1</v>
      </c>
      <c r="AQ25" s="119" t="s">
        <v>313</v>
      </c>
      <c r="AR25" t="s">
        <v>633</v>
      </c>
      <c r="AS25" s="108">
        <v>0.58870967741935498</v>
      </c>
      <c r="AT25" s="108">
        <v>0.965753424657534</v>
      </c>
      <c r="AU25" s="119" t="s">
        <v>313</v>
      </c>
      <c r="AV25">
        <v>185</v>
      </c>
      <c r="AW25" s="108">
        <v>0.53684210526315801</v>
      </c>
      <c r="AX25" s="131">
        <v>0.96078431372549</v>
      </c>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row>
    <row r="26" spans="1:149" s="1" customFormat="1">
      <c r="A26" s="9">
        <v>25</v>
      </c>
      <c r="B26" s="1" t="s">
        <v>434</v>
      </c>
      <c r="C26" s="1" t="s">
        <v>435</v>
      </c>
      <c r="D26" s="119" t="s">
        <v>313</v>
      </c>
      <c r="E26" s="9">
        <v>0.17699999999999999</v>
      </c>
      <c r="F26" s="118">
        <f>E26*Demographics!H26</f>
        <v>1105447.4819999998</v>
      </c>
      <c r="G26" s="379" t="s">
        <v>631</v>
      </c>
      <c r="H26" s="1">
        <v>0.16900000000000001</v>
      </c>
      <c r="I26" s="118">
        <f>H26*Demographics!$H26</f>
        <v>1055483.754</v>
      </c>
      <c r="J26" s="65" t="s">
        <v>632</v>
      </c>
      <c r="K26" s="1">
        <v>0.68400000000000005</v>
      </c>
      <c r="L26" s="118">
        <f>K26*Demographics!$H26</f>
        <v>4271898.7439999999</v>
      </c>
      <c r="M26" s="379" t="s">
        <v>631</v>
      </c>
      <c r="N26" s="1">
        <v>1.4E-2</v>
      </c>
      <c r="O26" s="118">
        <f>N26*Demographics!$H26</f>
        <v>87436.524000000005</v>
      </c>
      <c r="P26" s="119" t="s">
        <v>313</v>
      </c>
      <c r="Q26">
        <v>242</v>
      </c>
      <c r="R26" s="108">
        <v>0.51754385964912297</v>
      </c>
      <c r="S26" s="108">
        <v>0.921875</v>
      </c>
      <c r="T26" s="119" t="s">
        <v>313</v>
      </c>
      <c r="U26">
        <v>713</v>
      </c>
      <c r="V26" s="108">
        <v>0.63636363636363602</v>
      </c>
      <c r="W26" s="108">
        <v>0.95454545454545503</v>
      </c>
      <c r="X26" s="118">
        <f>V26*W26*Demographics!$H26</f>
        <v>3793733.4793388429</v>
      </c>
      <c r="Y26" s="119" t="s">
        <v>313</v>
      </c>
      <c r="Z26">
        <v>124</v>
      </c>
      <c r="AA26" s="108">
        <v>0.6875</v>
      </c>
      <c r="AB26" s="108">
        <v>0.84615384615384603</v>
      </c>
      <c r="AC26" s="118">
        <f>AA26*AB26*Demographics!$H26</f>
        <v>3633179.740384615</v>
      </c>
      <c r="AD26" s="119" t="s">
        <v>313</v>
      </c>
      <c r="AE26">
        <v>1325</v>
      </c>
      <c r="AF26" s="108">
        <v>0.40439560439560401</v>
      </c>
      <c r="AG26" s="108">
        <v>0.90640394088669995</v>
      </c>
      <c r="AH26" s="178">
        <f>AF26*AG26*Demographics!$H26</f>
        <v>2289249.1408650451</v>
      </c>
      <c r="AI26" s="119" t="s">
        <v>313</v>
      </c>
      <c r="AJ26" s="76">
        <v>322</v>
      </c>
      <c r="AK26" s="108">
        <v>0.67669172932330801</v>
      </c>
      <c r="AL26" s="108">
        <v>0.93333333333333302</v>
      </c>
      <c r="AM26" s="119" t="s">
        <v>313</v>
      </c>
      <c r="AN26">
        <v>548</v>
      </c>
      <c r="AO26" s="108">
        <v>0.78571428571428603</v>
      </c>
      <c r="AP26" s="108">
        <v>0.84848484848484895</v>
      </c>
      <c r="AQ26" s="119" t="s">
        <v>313</v>
      </c>
      <c r="AR26" t="s">
        <v>633</v>
      </c>
      <c r="AS26" s="108">
        <v>0.62532981530343001</v>
      </c>
      <c r="AT26" s="108">
        <v>0.91983122362869196</v>
      </c>
      <c r="AU26" s="119" t="s">
        <v>313</v>
      </c>
      <c r="AV26">
        <v>290</v>
      </c>
      <c r="AW26" s="108">
        <v>0.45614035087719301</v>
      </c>
      <c r="AX26" s="131">
        <v>0.92307692307692302</v>
      </c>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row>
    <row r="27" spans="1:149" s="1" customFormat="1">
      <c r="A27" s="9">
        <v>26</v>
      </c>
      <c r="B27" s="1" t="s">
        <v>439</v>
      </c>
      <c r="C27" s="1" t="s">
        <v>440</v>
      </c>
      <c r="D27" s="119" t="s">
        <v>313</v>
      </c>
      <c r="E27" s="9">
        <v>0.216</v>
      </c>
      <c r="F27" s="118">
        <f>E27*Demographics!H27</f>
        <v>245642.32800000001</v>
      </c>
      <c r="G27" s="379" t="s">
        <v>631</v>
      </c>
      <c r="H27" s="1">
        <v>0.18099999999999999</v>
      </c>
      <c r="I27" s="118">
        <f>H27*Demographics!$H27</f>
        <v>205839.17299999998</v>
      </c>
      <c r="J27" s="65" t="s">
        <v>632</v>
      </c>
      <c r="K27" s="1">
        <v>0.65400000000000003</v>
      </c>
      <c r="L27" s="118">
        <f>K27*Demographics!$H27</f>
        <v>743750.38199999998</v>
      </c>
      <c r="M27" s="379" t="s">
        <v>631</v>
      </c>
      <c r="N27" s="1">
        <v>2.1000000000000001E-2</v>
      </c>
      <c r="O27" s="118">
        <f>N27*Demographics!$H27</f>
        <v>23881.893</v>
      </c>
      <c r="P27" s="119" t="s">
        <v>313</v>
      </c>
      <c r="Q27">
        <v>490</v>
      </c>
      <c r="R27" s="108">
        <v>0.65088757396449703</v>
      </c>
      <c r="S27" s="108">
        <v>0.94827586206896597</v>
      </c>
      <c r="T27" s="119" t="s">
        <v>313</v>
      </c>
      <c r="U27">
        <v>2553</v>
      </c>
      <c r="V27" s="108">
        <v>0.64583333333333304</v>
      </c>
      <c r="W27" s="108">
        <v>1</v>
      </c>
      <c r="X27" s="118">
        <f>V27*W27*Demographics!$H27</f>
        <v>734462.97916666628</v>
      </c>
      <c r="Y27" s="119" t="s">
        <v>313</v>
      </c>
      <c r="Z27">
        <v>400</v>
      </c>
      <c r="AA27" s="108">
        <v>0.69696969696969702</v>
      </c>
      <c r="AB27" s="108">
        <v>1</v>
      </c>
      <c r="AC27" s="118">
        <f>AA27*AB27*Demographics!$H27</f>
        <v>792616.93939393945</v>
      </c>
      <c r="AD27" s="119" t="s">
        <v>313</v>
      </c>
      <c r="AE27">
        <v>2400</v>
      </c>
      <c r="AF27" s="108">
        <v>0.44220183486238501</v>
      </c>
      <c r="AG27" s="108">
        <v>0.86379928315412202</v>
      </c>
      <c r="AH27" s="178">
        <f>AF27*AG27*Demographics!$H27</f>
        <v>434393.01484988962</v>
      </c>
      <c r="AI27" s="119" t="s">
        <v>313</v>
      </c>
      <c r="AJ27" s="76">
        <v>304</v>
      </c>
      <c r="AK27" s="108">
        <v>0.67272727272727295</v>
      </c>
      <c r="AL27" s="108">
        <v>0.93243243243243201</v>
      </c>
      <c r="AM27" s="119" t="s">
        <v>313</v>
      </c>
      <c r="AN27">
        <v>503</v>
      </c>
      <c r="AO27" s="108">
        <v>0.61904761904761896</v>
      </c>
      <c r="AP27" s="108">
        <v>1</v>
      </c>
      <c r="AQ27" s="119" t="s">
        <v>313</v>
      </c>
      <c r="AR27" t="s">
        <v>633</v>
      </c>
      <c r="AS27" s="108">
        <v>0.66532258064516103</v>
      </c>
      <c r="AT27" s="108">
        <v>0.939393939393939</v>
      </c>
      <c r="AU27" s="119" t="s">
        <v>313</v>
      </c>
      <c r="AV27">
        <v>174</v>
      </c>
      <c r="AW27" s="108">
        <v>0.55555555555555602</v>
      </c>
      <c r="AX27" s="131">
        <v>0.88</v>
      </c>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row>
    <row r="28" spans="1:149" s="1" customFormat="1">
      <c r="A28" s="9">
        <v>27</v>
      </c>
      <c r="B28" s="1" t="s">
        <v>444</v>
      </c>
      <c r="C28" s="1" t="s">
        <v>445</v>
      </c>
      <c r="D28" s="119" t="s">
        <v>313</v>
      </c>
      <c r="E28" s="9">
        <v>0.16900000000000001</v>
      </c>
      <c r="F28" s="118">
        <f>E28*Demographics!H28</f>
        <v>338923.58500000002</v>
      </c>
      <c r="G28" s="379" t="s">
        <v>631</v>
      </c>
      <c r="H28" s="1">
        <v>0.14799999999999999</v>
      </c>
      <c r="I28" s="118">
        <f>H28*Demographics!$H28</f>
        <v>296808.82</v>
      </c>
      <c r="J28" s="65" t="s">
        <v>632</v>
      </c>
      <c r="K28" s="1">
        <v>0.74099999999999999</v>
      </c>
      <c r="L28" s="118">
        <f>K28*Demographics!$H28</f>
        <v>1486049.5649999999</v>
      </c>
      <c r="M28" s="379" t="s">
        <v>631</v>
      </c>
      <c r="N28" s="1">
        <v>1.4999999999999999E-2</v>
      </c>
      <c r="O28" s="118">
        <f>N28*Demographics!$H28</f>
        <v>30081.974999999999</v>
      </c>
      <c r="P28" s="119" t="s">
        <v>313</v>
      </c>
      <c r="Q28">
        <v>286</v>
      </c>
      <c r="R28" s="108">
        <v>0.63970588235294101</v>
      </c>
      <c r="S28" s="108">
        <v>0.95604395604395598</v>
      </c>
      <c r="T28" s="119" t="s">
        <v>313</v>
      </c>
      <c r="U28">
        <v>1205</v>
      </c>
      <c r="V28" s="108">
        <v>0.67857142857142905</v>
      </c>
      <c r="W28" s="108">
        <v>0.95</v>
      </c>
      <c r="X28" s="118">
        <f>V28*W28*Demographics!$H28</f>
        <v>1292808.6875000007</v>
      </c>
      <c r="Y28" s="119" t="s">
        <v>313</v>
      </c>
      <c r="Z28">
        <v>265</v>
      </c>
      <c r="AA28" s="108">
        <v>0.57692307692307698</v>
      </c>
      <c r="AB28" s="108">
        <v>1</v>
      </c>
      <c r="AC28" s="118">
        <f>AA28*AB28*Demographics!$H28</f>
        <v>1156999.0384615385</v>
      </c>
      <c r="AD28" s="119" t="s">
        <v>313</v>
      </c>
      <c r="AE28">
        <v>1927</v>
      </c>
      <c r="AF28" s="108">
        <v>0.39622641509433998</v>
      </c>
      <c r="AG28" s="108">
        <v>0.85555555555555596</v>
      </c>
      <c r="AH28" s="178">
        <f>AF28*AG28*Demographics!$H28</f>
        <v>679840.0220125796</v>
      </c>
      <c r="AI28" s="119" t="s">
        <v>313</v>
      </c>
      <c r="AJ28" s="76">
        <v>543</v>
      </c>
      <c r="AK28" s="108">
        <v>0.582995951417004</v>
      </c>
      <c r="AL28" s="108">
        <v>0.92361111111111105</v>
      </c>
      <c r="AM28" s="119" t="s">
        <v>313</v>
      </c>
      <c r="AN28">
        <v>894</v>
      </c>
      <c r="AO28" s="108">
        <v>0.65625</v>
      </c>
      <c r="AP28" s="108">
        <v>1</v>
      </c>
      <c r="AQ28" s="119" t="s">
        <v>313</v>
      </c>
      <c r="AR28" t="s">
        <v>633</v>
      </c>
      <c r="AS28" s="108">
        <v>0.466480446927374</v>
      </c>
      <c r="AT28" s="108">
        <v>0.93113772455089805</v>
      </c>
      <c r="AU28" s="119" t="s">
        <v>313</v>
      </c>
      <c r="AV28">
        <v>564</v>
      </c>
      <c r="AW28" s="108">
        <v>0.40384615384615402</v>
      </c>
      <c r="AX28" s="131">
        <v>0.89285714285714302</v>
      </c>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row>
    <row r="29" spans="1:149" s="1" customFormat="1">
      <c r="A29" s="9">
        <v>28</v>
      </c>
      <c r="B29" s="1" t="s">
        <v>449</v>
      </c>
      <c r="C29" s="1" t="s">
        <v>450</v>
      </c>
      <c r="D29" s="119" t="s">
        <v>313</v>
      </c>
      <c r="E29" s="9">
        <v>0.20599999999999999</v>
      </c>
      <c r="F29" s="118">
        <f>E29*Demographics!H29</f>
        <v>673098.20199999993</v>
      </c>
      <c r="G29" s="379" t="s">
        <v>631</v>
      </c>
      <c r="H29" s="1">
        <v>0.14799999999999999</v>
      </c>
      <c r="I29" s="118">
        <f>H29*Demographics!$H29</f>
        <v>483585.11599999998</v>
      </c>
      <c r="J29" s="65" t="s">
        <v>632</v>
      </c>
      <c r="K29" s="1">
        <v>0.6409999999999999</v>
      </c>
      <c r="L29" s="118">
        <f>K29*Demographics!$H29</f>
        <v>2094446.3469999996</v>
      </c>
      <c r="M29" s="379" t="s">
        <v>631</v>
      </c>
      <c r="N29" s="1">
        <v>1.6E-2</v>
      </c>
      <c r="O29" s="118">
        <f>N29*Demographics!$H29</f>
        <v>52279.472000000002</v>
      </c>
      <c r="P29" s="119" t="s">
        <v>313</v>
      </c>
      <c r="Q29">
        <v>243</v>
      </c>
      <c r="R29" s="108">
        <v>0.626506024096386</v>
      </c>
      <c r="S29" s="108">
        <v>0.86666666666666703</v>
      </c>
      <c r="T29" s="119" t="s">
        <v>313</v>
      </c>
      <c r="U29">
        <v>2051</v>
      </c>
      <c r="V29" s="108">
        <v>0.53846153846153799</v>
      </c>
      <c r="W29" s="108">
        <v>0.77777777777777801</v>
      </c>
      <c r="X29" s="118">
        <f>V29*W29*Demographics!$H29</f>
        <v>1368426.3504273496</v>
      </c>
      <c r="Y29" s="119" t="s">
        <v>313</v>
      </c>
      <c r="Z29">
        <v>288</v>
      </c>
      <c r="AA29" s="108">
        <v>0.36</v>
      </c>
      <c r="AB29" s="108">
        <v>0.81818181818181801</v>
      </c>
      <c r="AC29" s="118">
        <f>AA29*AB29*Demographics!$H29</f>
        <v>962417.55272727262</v>
      </c>
      <c r="AD29" s="119" t="s">
        <v>313</v>
      </c>
      <c r="AE29">
        <v>2660</v>
      </c>
      <c r="AF29" s="108">
        <v>0.476683937823834</v>
      </c>
      <c r="AG29" s="108">
        <v>0.92307692307692302</v>
      </c>
      <c r="AH29" s="178">
        <f>AF29*AG29*Demographics!$H29</f>
        <v>1437737.5719410116</v>
      </c>
      <c r="AI29" s="119" t="s">
        <v>313</v>
      </c>
      <c r="AJ29" s="76">
        <v>106</v>
      </c>
      <c r="AK29" s="108">
        <v>0.66666666666666696</v>
      </c>
      <c r="AL29" s="108">
        <v>0.96666666666666701</v>
      </c>
      <c r="AM29" s="119" t="s">
        <v>313</v>
      </c>
      <c r="AN29">
        <v>154</v>
      </c>
      <c r="AO29" s="108">
        <v>0.28571428571428598</v>
      </c>
      <c r="AP29" s="108">
        <v>1</v>
      </c>
      <c r="AQ29" s="119" t="s">
        <v>313</v>
      </c>
      <c r="AR29" t="s">
        <v>633</v>
      </c>
      <c r="AS29" s="108">
        <v>0.592592592592593</v>
      </c>
      <c r="AT29" s="108">
        <v>0.96875</v>
      </c>
      <c r="AU29" s="119" t="s">
        <v>313</v>
      </c>
      <c r="AV29">
        <v>67</v>
      </c>
      <c r="AW29" s="108">
        <v>0.42105263157894701</v>
      </c>
      <c r="AX29" s="131">
        <v>1</v>
      </c>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row>
    <row r="30" spans="1:149" s="1" customFormat="1">
      <c r="A30" s="9">
        <v>29</v>
      </c>
      <c r="B30" s="1" t="s">
        <v>454</v>
      </c>
      <c r="C30" s="1" t="s">
        <v>455</v>
      </c>
      <c r="D30" s="119" t="s">
        <v>313</v>
      </c>
      <c r="E30" s="9">
        <v>0.13400000000000001</v>
      </c>
      <c r="F30" s="118">
        <f>E30*Demographics!H30</f>
        <v>188810.288</v>
      </c>
      <c r="G30" s="379" t="s">
        <v>631</v>
      </c>
      <c r="H30" s="1">
        <v>0.189</v>
      </c>
      <c r="I30" s="118">
        <f>H30*Demographics!$H30</f>
        <v>266307.04800000001</v>
      </c>
      <c r="J30" s="65" t="s">
        <v>632</v>
      </c>
      <c r="K30" s="1">
        <v>0.75900000000000001</v>
      </c>
      <c r="L30" s="118">
        <f>K30*Demographics!$H30</f>
        <v>1069455.2879999999</v>
      </c>
      <c r="M30" s="379" t="s">
        <v>631</v>
      </c>
      <c r="N30" s="1">
        <v>8.0000000000000002E-3</v>
      </c>
      <c r="O30" s="118">
        <f>N30*Demographics!$H30</f>
        <v>11272.255999999999</v>
      </c>
      <c r="P30" s="119" t="s">
        <v>313</v>
      </c>
      <c r="Q30">
        <v>911</v>
      </c>
      <c r="R30" s="108">
        <v>0.52749999999999997</v>
      </c>
      <c r="S30" s="108">
        <v>0.90557939914163099</v>
      </c>
      <c r="T30" s="119" t="s">
        <v>313</v>
      </c>
      <c r="U30">
        <v>4312</v>
      </c>
      <c r="V30" s="108">
        <v>0.64383561643835596</v>
      </c>
      <c r="W30" s="108">
        <v>0.95918367346938804</v>
      </c>
      <c r="X30" s="118">
        <f>V30*W30*Demographics!$H30</f>
        <v>870157.02767682401</v>
      </c>
      <c r="Y30" s="119" t="s">
        <v>313</v>
      </c>
      <c r="Z30">
        <v>476</v>
      </c>
      <c r="AA30" s="108">
        <v>0.565217391304348</v>
      </c>
      <c r="AB30" s="108">
        <v>0.92857142857142805</v>
      </c>
      <c r="AC30" s="118">
        <f>AA30*AB30*Demographics!$H30</f>
        <v>739523.00621117989</v>
      </c>
      <c r="AD30" s="119" t="s">
        <v>313</v>
      </c>
      <c r="AE30">
        <v>5373</v>
      </c>
      <c r="AF30" s="108">
        <v>0.38367052023121401</v>
      </c>
      <c r="AG30" s="108">
        <v>0.88795986622073597</v>
      </c>
      <c r="AH30" s="178">
        <f>AF30*AG30*Demographics!$H30</f>
        <v>480034.69144740683</v>
      </c>
      <c r="AI30" s="119" t="s">
        <v>313</v>
      </c>
      <c r="AJ30" s="76">
        <v>111</v>
      </c>
      <c r="AK30" s="108">
        <v>0.83333333333333304</v>
      </c>
      <c r="AL30" s="108">
        <v>0.93333333333333302</v>
      </c>
      <c r="AM30" s="119" t="s">
        <v>313</v>
      </c>
      <c r="AN30">
        <v>500</v>
      </c>
      <c r="AO30" s="108">
        <v>0.85714285714285698</v>
      </c>
      <c r="AP30" s="108">
        <v>1</v>
      </c>
      <c r="AQ30" s="119" t="s">
        <v>313</v>
      </c>
      <c r="AR30" t="s">
        <v>633</v>
      </c>
      <c r="AS30" s="108">
        <v>0.83333333333333304</v>
      </c>
      <c r="AT30" s="108">
        <v>0.9</v>
      </c>
      <c r="AU30" s="119" t="s">
        <v>313</v>
      </c>
      <c r="AV30">
        <v>103</v>
      </c>
      <c r="AW30" s="108">
        <v>0.83333333333333304</v>
      </c>
      <c r="AX30" s="131">
        <v>0.92</v>
      </c>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row>
    <row r="31" spans="1:149" s="1" customFormat="1">
      <c r="A31" s="9">
        <v>30</v>
      </c>
      <c r="B31" s="1" t="s">
        <v>459</v>
      </c>
      <c r="C31" s="1" t="s">
        <v>460</v>
      </c>
      <c r="D31" s="119" t="s">
        <v>313</v>
      </c>
      <c r="E31" s="9">
        <v>0.187</v>
      </c>
      <c r="F31" s="118">
        <f>E31*Demographics!H31</f>
        <v>1776659.1370000001</v>
      </c>
      <c r="G31" s="379" t="s">
        <v>631</v>
      </c>
      <c r="H31" s="1">
        <v>0.14099999999999999</v>
      </c>
      <c r="I31" s="118">
        <f>H31*Demographics!$H31</f>
        <v>1339619.9909999999</v>
      </c>
      <c r="J31" s="65" t="s">
        <v>632</v>
      </c>
      <c r="K31" s="1">
        <v>0.70099999999999996</v>
      </c>
      <c r="L31" s="118">
        <f>K31*Demographics!$H31</f>
        <v>6660096.551</v>
      </c>
      <c r="M31" s="379" t="s">
        <v>631</v>
      </c>
      <c r="N31" s="1">
        <v>3.0000000000000001E-3</v>
      </c>
      <c r="O31" s="118">
        <f>N31*Demographics!$H31</f>
        <v>28502.553</v>
      </c>
      <c r="P31" s="119" t="s">
        <v>313</v>
      </c>
      <c r="Q31">
        <v>219</v>
      </c>
      <c r="R31" s="108">
        <v>0.70909090909090899</v>
      </c>
      <c r="S31" s="108">
        <v>0.90697674418604601</v>
      </c>
      <c r="T31" s="119" t="s">
        <v>313</v>
      </c>
      <c r="U31">
        <v>3320</v>
      </c>
      <c r="V31" s="108">
        <v>0.86666666666666703</v>
      </c>
      <c r="W31" s="108">
        <v>1</v>
      </c>
      <c r="X31" s="118">
        <f>V31*W31*Demographics!$H31</f>
        <v>8234070.86666667</v>
      </c>
      <c r="Y31" s="119" t="s">
        <v>313</v>
      </c>
      <c r="Z31">
        <v>260</v>
      </c>
      <c r="AA31" s="108">
        <v>0.7</v>
      </c>
      <c r="AB31" s="108">
        <v>1</v>
      </c>
      <c r="AC31" s="118">
        <f>AA31*AB31*Demographics!$H31</f>
        <v>6650595.6999999993</v>
      </c>
      <c r="AD31" s="119" t="s">
        <v>313</v>
      </c>
      <c r="AE31">
        <v>2569</v>
      </c>
      <c r="AF31" s="108">
        <v>0.44090909090909097</v>
      </c>
      <c r="AG31" s="108">
        <v>0.87782805429864297</v>
      </c>
      <c r="AH31" s="178">
        <f>AF31*AG31*Demographics!$H31</f>
        <v>3677231.8823118084</v>
      </c>
      <c r="AI31" s="119" t="s">
        <v>313</v>
      </c>
      <c r="AJ31" s="76">
        <v>292</v>
      </c>
      <c r="AK31" s="108">
        <v>0.52631578947368396</v>
      </c>
      <c r="AL31" s="108">
        <v>0.871428571428571</v>
      </c>
      <c r="AM31" s="119" t="s">
        <v>313</v>
      </c>
      <c r="AN31">
        <v>361</v>
      </c>
      <c r="AO31" s="108">
        <v>0.36111111111111099</v>
      </c>
      <c r="AP31" s="108">
        <v>1</v>
      </c>
      <c r="AQ31" s="119" t="s">
        <v>313</v>
      </c>
      <c r="AR31" t="s">
        <v>633</v>
      </c>
      <c r="AS31" s="108">
        <v>0.41010101010101002</v>
      </c>
      <c r="AT31" s="108">
        <v>0.89162561576354704</v>
      </c>
      <c r="AU31" s="119" t="s">
        <v>313</v>
      </c>
      <c r="AV31">
        <v>245</v>
      </c>
      <c r="AW31" s="108">
        <v>0.443037974683544</v>
      </c>
      <c r="AX31" s="131">
        <v>0.88571428571428601</v>
      </c>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row>
    <row r="32" spans="1:149" s="1" customFormat="1">
      <c r="A32" s="9">
        <v>31</v>
      </c>
      <c r="B32" s="1" t="s">
        <v>464</v>
      </c>
      <c r="C32" s="1" t="s">
        <v>465</v>
      </c>
      <c r="D32" s="119" t="s">
        <v>313</v>
      </c>
      <c r="E32" s="9">
        <v>0.34300000000000003</v>
      </c>
      <c r="F32" s="118">
        <f>E32*Demographics!H32</f>
        <v>730677.80800000008</v>
      </c>
      <c r="G32" s="379" t="s">
        <v>631</v>
      </c>
      <c r="H32" s="1">
        <v>0.16300000000000001</v>
      </c>
      <c r="I32" s="118">
        <f>H32*Demographics!$H32</f>
        <v>347231.728</v>
      </c>
      <c r="J32" s="65" t="s">
        <v>632</v>
      </c>
      <c r="K32" s="1">
        <v>0.54100000000000004</v>
      </c>
      <c r="L32" s="118">
        <f>K32*Demographics!$H32</f>
        <v>1152468.496</v>
      </c>
      <c r="M32" s="379" t="s">
        <v>631</v>
      </c>
      <c r="N32" s="1">
        <v>1.7000000000000001E-2</v>
      </c>
      <c r="O32" s="118">
        <f>N32*Demographics!$H32</f>
        <v>36214.352000000006</v>
      </c>
      <c r="P32" s="119" t="s">
        <v>313</v>
      </c>
      <c r="Q32">
        <v>535</v>
      </c>
      <c r="R32" s="108">
        <v>0.455813953488372</v>
      </c>
      <c r="S32" s="108">
        <v>0.907407407407407</v>
      </c>
      <c r="T32" s="119" t="s">
        <v>313</v>
      </c>
      <c r="U32">
        <v>2170</v>
      </c>
      <c r="V32" s="108">
        <v>0.365079365079365</v>
      </c>
      <c r="W32" s="108">
        <v>0.85185185185185197</v>
      </c>
      <c r="X32" s="118">
        <f>V32*W32*Demographics!$H32</f>
        <v>662495.84009406227</v>
      </c>
      <c r="Y32" s="119" t="s">
        <v>313</v>
      </c>
      <c r="Z32">
        <v>106</v>
      </c>
      <c r="AA32" s="108">
        <v>0.35714285714285698</v>
      </c>
      <c r="AB32" s="108">
        <v>0.83333333333333304</v>
      </c>
      <c r="AC32" s="118">
        <f>AA32*AB32*Demographics!$H32</f>
        <v>634004.76190476143</v>
      </c>
      <c r="AD32" s="119" t="s">
        <v>313</v>
      </c>
      <c r="AE32">
        <v>4126</v>
      </c>
      <c r="AF32" s="108">
        <v>0.33333333333333298</v>
      </c>
      <c r="AG32" s="108">
        <v>0.83418367346938804</v>
      </c>
      <c r="AH32" s="178">
        <f>AF32*AG32*Demographics!$H32</f>
        <v>592341.59183673421</v>
      </c>
      <c r="AI32" s="119" t="s">
        <v>313</v>
      </c>
      <c r="AJ32" s="76">
        <v>235</v>
      </c>
      <c r="AK32" s="108">
        <v>0.579439252336449</v>
      </c>
      <c r="AL32" s="108">
        <v>0.95161290322580605</v>
      </c>
      <c r="AM32" s="119" t="s">
        <v>313</v>
      </c>
      <c r="AN32">
        <v>283</v>
      </c>
      <c r="AO32" s="108">
        <v>0.77777777777777801</v>
      </c>
      <c r="AP32" s="108">
        <v>1</v>
      </c>
      <c r="AQ32" s="119" t="s">
        <v>313</v>
      </c>
      <c r="AR32" t="s">
        <v>633</v>
      </c>
      <c r="AS32" s="108">
        <v>0.53658536585365901</v>
      </c>
      <c r="AT32" s="108">
        <v>0.9</v>
      </c>
      <c r="AU32" s="119" t="s">
        <v>313</v>
      </c>
      <c r="AV32">
        <v>102</v>
      </c>
      <c r="AW32" s="108">
        <v>0.407407407407407</v>
      </c>
      <c r="AX32" s="131">
        <v>0.72727272727272696</v>
      </c>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row>
    <row r="33" spans="1:149" s="1" customFormat="1">
      <c r="A33" s="9">
        <v>32</v>
      </c>
      <c r="B33" s="1" t="s">
        <v>469</v>
      </c>
      <c r="C33" s="1" t="s">
        <v>470</v>
      </c>
      <c r="D33" s="119" t="s">
        <v>313</v>
      </c>
      <c r="E33" s="9">
        <v>0.28799999999999998</v>
      </c>
      <c r="F33" s="118">
        <f>E33*Demographics!H33</f>
        <v>5721767.4239999996</v>
      </c>
      <c r="G33" s="379" t="s">
        <v>631</v>
      </c>
      <c r="H33" s="1">
        <v>0.13600000000000001</v>
      </c>
      <c r="I33" s="118">
        <f>H33*Demographics!$H33</f>
        <v>2701945.7280000001</v>
      </c>
      <c r="J33" s="65" t="s">
        <v>632</v>
      </c>
      <c r="K33" s="1">
        <v>0.65099999999999991</v>
      </c>
      <c r="L33" s="118">
        <f>K33*Demographics!$H33</f>
        <v>12933578.447999999</v>
      </c>
      <c r="M33" s="379" t="s">
        <v>631</v>
      </c>
      <c r="N33" s="1">
        <v>4.0000000000000001E-3</v>
      </c>
      <c r="O33" s="118">
        <f>N33*Demographics!$H33</f>
        <v>79468.991999999998</v>
      </c>
      <c r="P33" s="119" t="s">
        <v>313</v>
      </c>
      <c r="Q33">
        <v>400</v>
      </c>
      <c r="R33" s="108">
        <v>0.54494382022471899</v>
      </c>
      <c r="S33" s="108">
        <v>0.95098039215686303</v>
      </c>
      <c r="T33" s="119" t="s">
        <v>313</v>
      </c>
      <c r="U33">
        <v>1209</v>
      </c>
      <c r="V33" s="108">
        <v>0.57894736842105299</v>
      </c>
      <c r="W33" s="108">
        <v>0.84615384615384603</v>
      </c>
      <c r="X33" s="118">
        <f>V33*W33*Demographics!$H33</f>
        <v>9732538.4939271305</v>
      </c>
      <c r="Y33" s="119" t="s">
        <v>313</v>
      </c>
      <c r="Z33">
        <v>144</v>
      </c>
      <c r="AA33" s="108">
        <v>0.63636363636363602</v>
      </c>
      <c r="AB33" s="108">
        <v>1</v>
      </c>
      <c r="AC33" s="118">
        <f>AA33*AB33*Demographics!$H33</f>
        <v>12642794.181818174</v>
      </c>
      <c r="AD33" s="119" t="s">
        <v>313</v>
      </c>
      <c r="AE33">
        <v>1091</v>
      </c>
      <c r="AF33" s="108">
        <v>0.39732142857142899</v>
      </c>
      <c r="AG33" s="108">
        <v>0.85576923076923095</v>
      </c>
      <c r="AH33" s="178">
        <f>AF33*AG33*Demographics!$H33</f>
        <v>6755171.3344780309</v>
      </c>
      <c r="AI33" s="119" t="s">
        <v>313</v>
      </c>
      <c r="AJ33" s="76">
        <v>2906</v>
      </c>
      <c r="AK33" s="108">
        <v>0.566071428571429</v>
      </c>
      <c r="AL33" s="108">
        <v>0.92744479495268095</v>
      </c>
      <c r="AM33" s="119" t="s">
        <v>313</v>
      </c>
      <c r="AN33">
        <v>2755</v>
      </c>
      <c r="AO33" s="108">
        <v>0.50218340611353696</v>
      </c>
      <c r="AP33" s="108">
        <v>0.90434782608695696</v>
      </c>
      <c r="AQ33" s="119" t="s">
        <v>313</v>
      </c>
      <c r="AR33" t="s">
        <v>633</v>
      </c>
      <c r="AS33" s="108">
        <v>0.49822204662188901</v>
      </c>
      <c r="AT33" s="108">
        <v>0.91593973037272003</v>
      </c>
      <c r="AU33" s="119" t="s">
        <v>313</v>
      </c>
      <c r="AV33">
        <v>1281</v>
      </c>
      <c r="AW33" s="108">
        <v>0.52770448548812698</v>
      </c>
      <c r="AX33" s="131">
        <v>0.89500000000000002</v>
      </c>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row>
    <row r="34" spans="1:149" s="1" customFormat="1">
      <c r="A34" s="9">
        <v>33</v>
      </c>
      <c r="B34" s="1" t="s">
        <v>474</v>
      </c>
      <c r="C34" s="1" t="s">
        <v>475</v>
      </c>
      <c r="D34" s="119" t="s">
        <v>313</v>
      </c>
      <c r="E34" s="9">
        <v>0.191</v>
      </c>
      <c r="F34" s="118">
        <f>E34*Demographics!H34</f>
        <v>2109790.5840000003</v>
      </c>
      <c r="G34" s="379" t="s">
        <v>631</v>
      </c>
      <c r="H34" s="1">
        <v>0.156</v>
      </c>
      <c r="I34" s="118">
        <f>H34*Demographics!$H34</f>
        <v>1723179.7439999999</v>
      </c>
      <c r="J34" s="65" t="s">
        <v>632</v>
      </c>
      <c r="K34" s="1">
        <v>0.67299999999999993</v>
      </c>
      <c r="L34" s="118">
        <f>K34*Demographics!$H34</f>
        <v>7433974.1519999988</v>
      </c>
      <c r="M34" s="379" t="s">
        <v>631</v>
      </c>
      <c r="N34" s="1">
        <v>2.4E-2</v>
      </c>
      <c r="O34" s="118">
        <f>N34*Demographics!$H34</f>
        <v>265104.576</v>
      </c>
      <c r="P34" s="119" t="s">
        <v>313</v>
      </c>
      <c r="Q34">
        <v>198</v>
      </c>
      <c r="R34" s="108">
        <v>0.64935064935064901</v>
      </c>
      <c r="S34" s="108">
        <v>0.96153846153846201</v>
      </c>
      <c r="T34" s="119" t="s">
        <v>313</v>
      </c>
      <c r="U34">
        <v>884</v>
      </c>
      <c r="V34" s="108">
        <v>0.61111111111111105</v>
      </c>
      <c r="W34" s="108">
        <v>1</v>
      </c>
      <c r="X34" s="118">
        <f>V34*W34*Demographics!$H34</f>
        <v>6750347.9999999991</v>
      </c>
      <c r="Y34" s="119" t="s">
        <v>313</v>
      </c>
      <c r="Z34">
        <v>152</v>
      </c>
      <c r="AA34" s="108">
        <v>0.57142857142857095</v>
      </c>
      <c r="AB34" s="108">
        <v>1</v>
      </c>
      <c r="AC34" s="118">
        <f>AA34*AB34*Demographics!$H34</f>
        <v>6312013.714285709</v>
      </c>
      <c r="AD34" s="119" t="s">
        <v>313</v>
      </c>
      <c r="AE34">
        <v>1014</v>
      </c>
      <c r="AF34" s="108">
        <v>0.40963855421686701</v>
      </c>
      <c r="AG34" s="108">
        <v>0.88695652173912998</v>
      </c>
      <c r="AH34" s="178">
        <f>AF34*AG34*Demographics!$H34</f>
        <v>4013369.4323729635</v>
      </c>
      <c r="AI34" s="119" t="s">
        <v>313</v>
      </c>
      <c r="AJ34" s="76">
        <v>148</v>
      </c>
      <c r="AK34" s="108">
        <v>0.73239436619718301</v>
      </c>
      <c r="AL34" s="108">
        <v>1</v>
      </c>
      <c r="AM34" s="119" t="s">
        <v>313</v>
      </c>
      <c r="AN34">
        <v>230</v>
      </c>
      <c r="AO34" s="108">
        <v>0.625</v>
      </c>
      <c r="AP34" s="108">
        <v>1</v>
      </c>
      <c r="AQ34" s="119" t="s">
        <v>313</v>
      </c>
      <c r="AR34" t="s">
        <v>633</v>
      </c>
      <c r="AS34" s="108">
        <v>0.55686274509803901</v>
      </c>
      <c r="AT34" s="108">
        <v>0.95070422535211296</v>
      </c>
      <c r="AU34" s="119" t="s">
        <v>313</v>
      </c>
      <c r="AV34">
        <v>193</v>
      </c>
      <c r="AW34" s="108">
        <v>0.50617283950617298</v>
      </c>
      <c r="AX34" s="131">
        <v>0.85365853658536595</v>
      </c>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row>
    <row r="35" spans="1:149" s="1" customFormat="1">
      <c r="A35" s="9">
        <v>34</v>
      </c>
      <c r="B35" s="1" t="s">
        <v>479</v>
      </c>
      <c r="C35" s="1" t="s">
        <v>480</v>
      </c>
      <c r="D35" s="119" t="s">
        <v>313</v>
      </c>
      <c r="E35" s="9">
        <v>0.128</v>
      </c>
      <c r="F35" s="118">
        <f>E35*Demographics!H35</f>
        <v>101960.704</v>
      </c>
      <c r="G35" s="379" t="s">
        <v>631</v>
      </c>
      <c r="H35" s="1">
        <v>0.152</v>
      </c>
      <c r="I35" s="118">
        <f>H35*Demographics!$H35</f>
        <v>121078.336</v>
      </c>
      <c r="J35" s="65" t="s">
        <v>632</v>
      </c>
      <c r="K35" s="1">
        <v>0.80799999999999994</v>
      </c>
      <c r="L35" s="118">
        <f>K35*Demographics!$H35</f>
        <v>643626.9439999999</v>
      </c>
      <c r="M35" s="379" t="s">
        <v>631</v>
      </c>
      <c r="N35" s="1">
        <v>2.5999999999999999E-2</v>
      </c>
      <c r="O35" s="118">
        <f>N35*Demographics!$H35</f>
        <v>20710.768</v>
      </c>
      <c r="P35" s="119" t="s">
        <v>313</v>
      </c>
      <c r="Q35">
        <v>5186</v>
      </c>
      <c r="R35" s="108">
        <v>0.493610223642172</v>
      </c>
      <c r="S35" s="108">
        <v>0.914201183431953</v>
      </c>
      <c r="T35" s="119" t="s">
        <v>313</v>
      </c>
      <c r="U35">
        <v>11714</v>
      </c>
      <c r="V35" s="108">
        <v>0.447236180904523</v>
      </c>
      <c r="W35" s="108">
        <v>0.90816326530612201</v>
      </c>
      <c r="X35" s="118">
        <f>V35*W35*Demographics!$H35</f>
        <v>323536.82330017444</v>
      </c>
      <c r="Y35" s="119" t="s">
        <v>313</v>
      </c>
      <c r="Z35">
        <v>873</v>
      </c>
      <c r="AA35" s="108">
        <v>0.60714285714285698</v>
      </c>
      <c r="AB35" s="108">
        <v>0.98076923076923095</v>
      </c>
      <c r="AC35" s="118">
        <f>AA35*AB35*Demographics!$H35</f>
        <v>474329.98351648351</v>
      </c>
      <c r="AD35" s="119" t="s">
        <v>313</v>
      </c>
      <c r="AE35">
        <v>18449</v>
      </c>
      <c r="AF35" s="108">
        <v>0.40463090325538698</v>
      </c>
      <c r="AG35" s="108">
        <v>0.85932330160423198</v>
      </c>
      <c r="AH35" s="178">
        <f>AF35*AG35*Demographics!$H35</f>
        <v>276973.67449614225</v>
      </c>
      <c r="AI35" s="119" t="s">
        <v>313</v>
      </c>
      <c r="AJ35" s="76">
        <v>147</v>
      </c>
      <c r="AK35" s="108">
        <v>0.72881355932203395</v>
      </c>
      <c r="AL35" s="108">
        <v>0.90697674418604701</v>
      </c>
      <c r="AM35" s="119" t="s">
        <v>313</v>
      </c>
      <c r="AN35">
        <v>330</v>
      </c>
      <c r="AO35" s="108">
        <v>0.88888888888888895</v>
      </c>
      <c r="AP35" s="108">
        <v>0.75</v>
      </c>
      <c r="AQ35" s="119" t="s">
        <v>313</v>
      </c>
      <c r="AR35" t="s">
        <v>633</v>
      </c>
      <c r="AS35" s="108">
        <v>0.67346938775510201</v>
      </c>
      <c r="AT35" s="108">
        <v>0.919191919191919</v>
      </c>
      <c r="AU35" s="119" t="s">
        <v>313</v>
      </c>
      <c r="AV35">
        <v>173</v>
      </c>
      <c r="AW35" s="108">
        <v>0.59183673469387799</v>
      </c>
      <c r="AX35" s="131">
        <v>0.96551724137931005</v>
      </c>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row>
    <row r="36" spans="1:149" s="1" customFormat="1">
      <c r="A36" s="9">
        <v>35</v>
      </c>
      <c r="B36" s="1" t="s">
        <v>484</v>
      </c>
      <c r="C36" s="1" t="s">
        <v>485</v>
      </c>
      <c r="D36" s="119" t="s">
        <v>313</v>
      </c>
      <c r="E36" s="9">
        <v>0.214</v>
      </c>
      <c r="F36" s="118">
        <f>E36*Demographics!H36</f>
        <v>2543027.0559999999</v>
      </c>
      <c r="G36" s="379" t="s">
        <v>631</v>
      </c>
      <c r="H36" s="1">
        <v>0.16300000000000001</v>
      </c>
      <c r="I36" s="118">
        <f>H36*Demographics!$H36</f>
        <v>1936978.5520000001</v>
      </c>
      <c r="J36" s="65" t="s">
        <v>632</v>
      </c>
      <c r="K36" s="1">
        <v>0.67299999999999993</v>
      </c>
      <c r="L36" s="118">
        <f>K36*Demographics!$H36</f>
        <v>7997463.5919999992</v>
      </c>
      <c r="M36" s="379" t="s">
        <v>631</v>
      </c>
      <c r="N36" s="1">
        <v>8.0000000000000002E-3</v>
      </c>
      <c r="O36" s="118">
        <f>N36*Demographics!$H36</f>
        <v>95066.432000000001</v>
      </c>
      <c r="P36" s="119" t="s">
        <v>313</v>
      </c>
      <c r="Q36">
        <v>688</v>
      </c>
      <c r="R36" s="108">
        <v>0.74698795180722899</v>
      </c>
      <c r="S36" s="108">
        <v>0.95876288659793796</v>
      </c>
      <c r="T36" s="119" t="s">
        <v>313</v>
      </c>
      <c r="U36">
        <v>3564</v>
      </c>
      <c r="V36" s="108">
        <v>0.67241379310344795</v>
      </c>
      <c r="W36" s="108">
        <v>0.97499999999999998</v>
      </c>
      <c r="X36" s="118">
        <f>V36*W36*Demographics!$H36</f>
        <v>7790735.0793103408</v>
      </c>
      <c r="Y36" s="119" t="s">
        <v>313</v>
      </c>
      <c r="Z36">
        <v>294</v>
      </c>
      <c r="AA36" s="108">
        <v>0.5</v>
      </c>
      <c r="AB36" s="108">
        <v>0.9</v>
      </c>
      <c r="AC36" s="118">
        <f>AA36*AB36*Demographics!$H36</f>
        <v>5347486.8</v>
      </c>
      <c r="AD36" s="119" t="s">
        <v>313</v>
      </c>
      <c r="AE36">
        <v>4398</v>
      </c>
      <c r="AF36" s="108">
        <v>0.49433573635427402</v>
      </c>
      <c r="AG36" s="108">
        <v>0.91254752851710996</v>
      </c>
      <c r="AH36" s="178">
        <f>AF36*AG36*Demographics!$H36</f>
        <v>5360616.1215163693</v>
      </c>
      <c r="AI36" s="119" t="s">
        <v>313</v>
      </c>
      <c r="AJ36" s="76">
        <v>434</v>
      </c>
      <c r="AK36" s="108">
        <v>0.79874213836478003</v>
      </c>
      <c r="AL36" s="108">
        <v>0.94488188976377996</v>
      </c>
      <c r="AM36" s="119" t="s">
        <v>313</v>
      </c>
      <c r="AN36">
        <v>895</v>
      </c>
      <c r="AO36" s="108">
        <v>0.75862068965517204</v>
      </c>
      <c r="AP36" s="108">
        <v>1</v>
      </c>
      <c r="AQ36" s="119" t="s">
        <v>313</v>
      </c>
      <c r="AR36" t="s">
        <v>633</v>
      </c>
      <c r="AS36" s="108">
        <v>0.721784776902887</v>
      </c>
      <c r="AT36" s="108">
        <v>0.93818181818181801</v>
      </c>
      <c r="AU36" s="119" t="s">
        <v>313</v>
      </c>
      <c r="AV36">
        <v>342</v>
      </c>
      <c r="AW36" s="108">
        <v>0.63</v>
      </c>
      <c r="AX36" s="131">
        <v>0.92063492063492103</v>
      </c>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row>
    <row r="37" spans="1:149" s="1" customFormat="1">
      <c r="A37" s="9">
        <v>36</v>
      </c>
      <c r="B37" s="1" t="s">
        <v>141</v>
      </c>
      <c r="C37" s="1" t="s">
        <v>489</v>
      </c>
      <c r="D37" s="119" t="s">
        <v>313</v>
      </c>
      <c r="E37" s="9">
        <v>0.22700000000000001</v>
      </c>
      <c r="F37" s="118">
        <f>E37*Demographics!H37</f>
        <v>929654.21100000001</v>
      </c>
      <c r="G37" s="379" t="s">
        <v>631</v>
      </c>
      <c r="H37" s="1">
        <v>0.152</v>
      </c>
      <c r="I37" s="118">
        <f>H37*Demographics!$H37</f>
        <v>622499.73600000003</v>
      </c>
      <c r="J37" s="65" t="s">
        <v>632</v>
      </c>
      <c r="K37" s="1">
        <v>0.61499999999999999</v>
      </c>
      <c r="L37" s="118">
        <f>K37*Demographics!$H37</f>
        <v>2518666.6949999998</v>
      </c>
      <c r="M37" s="379" t="s">
        <v>631</v>
      </c>
      <c r="N37" s="1">
        <v>0.02</v>
      </c>
      <c r="O37" s="118">
        <f>N37*Demographics!$H37</f>
        <v>81907.86</v>
      </c>
      <c r="P37" s="119" t="s">
        <v>313</v>
      </c>
      <c r="Q37">
        <v>460</v>
      </c>
      <c r="R37" s="108">
        <v>0.64397905759162299</v>
      </c>
      <c r="S37" s="108">
        <v>0.96850393700787396</v>
      </c>
      <c r="T37" s="119" t="s">
        <v>313</v>
      </c>
      <c r="U37">
        <v>2321</v>
      </c>
      <c r="V37" s="108">
        <v>0.72368421052631604</v>
      </c>
      <c r="W37" s="108">
        <v>0.94827586206896597</v>
      </c>
      <c r="X37" s="118">
        <f>V37*W37*Demographics!$H37</f>
        <v>2810472.7370689679</v>
      </c>
      <c r="Y37" s="119" t="s">
        <v>313</v>
      </c>
      <c r="Z37">
        <v>364</v>
      </c>
      <c r="AA37" s="108">
        <v>0.5</v>
      </c>
      <c r="AB37" s="108">
        <v>0.95</v>
      </c>
      <c r="AC37" s="118">
        <f>AA37*AB37*Demographics!$H37</f>
        <v>1945311.6749999998</v>
      </c>
      <c r="AD37" s="119" t="s">
        <v>313</v>
      </c>
      <c r="AE37">
        <v>2762</v>
      </c>
      <c r="AF37" s="108">
        <v>0.50298685782556796</v>
      </c>
      <c r="AG37" s="108">
        <v>0.89765458422174804</v>
      </c>
      <c r="AH37" s="178">
        <f>AF37*AG37*Demographics!$H37</f>
        <v>1849104.581325325</v>
      </c>
      <c r="AI37" s="119" t="s">
        <v>313</v>
      </c>
      <c r="AJ37" s="76">
        <v>288</v>
      </c>
      <c r="AK37" s="108">
        <v>0.66141732283464605</v>
      </c>
      <c r="AL37" s="108">
        <v>0.96428571428571397</v>
      </c>
      <c r="AM37" s="119" t="s">
        <v>313</v>
      </c>
      <c r="AN37">
        <v>514</v>
      </c>
      <c r="AO37" s="108">
        <v>0.8</v>
      </c>
      <c r="AP37" s="108">
        <v>0.9375</v>
      </c>
      <c r="AQ37" s="119" t="s">
        <v>313</v>
      </c>
      <c r="AR37" t="s">
        <v>633</v>
      </c>
      <c r="AS37" s="108">
        <v>0.62868369351669895</v>
      </c>
      <c r="AT37" s="108">
        <v>0.94062500000000004</v>
      </c>
      <c r="AU37" s="119" t="s">
        <v>313</v>
      </c>
      <c r="AV37">
        <v>280</v>
      </c>
      <c r="AW37" s="108">
        <v>0.611510791366906</v>
      </c>
      <c r="AX37" s="131">
        <v>0.90588235294117603</v>
      </c>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row>
    <row r="38" spans="1:149" s="1" customFormat="1">
      <c r="A38" s="9">
        <v>37</v>
      </c>
      <c r="B38" s="1" t="s">
        <v>493</v>
      </c>
      <c r="C38" s="1" t="s">
        <v>494</v>
      </c>
      <c r="D38" s="119" t="s">
        <v>313</v>
      </c>
      <c r="E38" s="9">
        <v>0.23799999999999999</v>
      </c>
      <c r="F38" s="118">
        <f>E38*Demographics!H38</f>
        <v>1016824.298</v>
      </c>
      <c r="G38" s="379" t="s">
        <v>631</v>
      </c>
      <c r="H38" s="1">
        <v>0.16300000000000001</v>
      </c>
      <c r="I38" s="118">
        <f>H38*Demographics!$H38</f>
        <v>696396.473</v>
      </c>
      <c r="J38" s="65" t="s">
        <v>632</v>
      </c>
      <c r="K38" s="1">
        <v>0.66900000000000004</v>
      </c>
      <c r="L38" s="118">
        <f>K38*Demographics!$H38</f>
        <v>2858216.199</v>
      </c>
      <c r="M38" s="379" t="s">
        <v>631</v>
      </c>
      <c r="N38" s="1">
        <v>8.0000000000000002E-3</v>
      </c>
      <c r="O38" s="118">
        <f>N38*Demographics!$H38</f>
        <v>34178.968000000001</v>
      </c>
      <c r="P38" s="119" t="s">
        <v>313</v>
      </c>
      <c r="Q38">
        <v>855</v>
      </c>
      <c r="R38" s="108">
        <v>0.63696369636963701</v>
      </c>
      <c r="S38" s="108">
        <v>0.919047619047619</v>
      </c>
      <c r="T38" s="119" t="s">
        <v>313</v>
      </c>
      <c r="U38">
        <v>1726</v>
      </c>
      <c r="V38" s="108">
        <v>0.61764705882352899</v>
      </c>
      <c r="W38" s="108">
        <v>0.91304347826086996</v>
      </c>
      <c r="X38" s="118">
        <f>V38*W38*Demographics!$H38</f>
        <v>2409355.001278772</v>
      </c>
      <c r="Y38" s="119" t="s">
        <v>313</v>
      </c>
      <c r="Z38">
        <v>223</v>
      </c>
      <c r="AA38" s="108">
        <v>0.61538461538461497</v>
      </c>
      <c r="AB38" s="108">
        <v>1</v>
      </c>
      <c r="AC38" s="118">
        <f>AA38*AB38*Demographics!$H38</f>
        <v>2629151.3846153826</v>
      </c>
      <c r="AD38" s="119" t="s">
        <v>313</v>
      </c>
      <c r="AE38">
        <v>2638</v>
      </c>
      <c r="AF38" s="108">
        <v>0.52821997105644003</v>
      </c>
      <c r="AG38" s="108">
        <v>0.899014778325123</v>
      </c>
      <c r="AH38" s="178">
        <f>AF38*AG38*Demographics!$H38</f>
        <v>2028853.1166903109</v>
      </c>
      <c r="AI38" s="119" t="s">
        <v>313</v>
      </c>
      <c r="AJ38" s="76">
        <v>500</v>
      </c>
      <c r="AK38" s="108">
        <v>0.73033707865168496</v>
      </c>
      <c r="AL38" s="108">
        <v>0.91538461538461502</v>
      </c>
      <c r="AM38" s="119" t="s">
        <v>313</v>
      </c>
      <c r="AN38">
        <v>406</v>
      </c>
      <c r="AO38" s="108">
        <v>0.73684210526315796</v>
      </c>
      <c r="AP38" s="108">
        <v>0.92857142857142905</v>
      </c>
      <c r="AQ38" s="119" t="s">
        <v>313</v>
      </c>
      <c r="AR38" t="s">
        <v>633</v>
      </c>
      <c r="AS38" s="108">
        <v>0.68275862068965498</v>
      </c>
      <c r="AT38" s="108">
        <v>0.919191919191919</v>
      </c>
      <c r="AU38" s="119" t="s">
        <v>313</v>
      </c>
      <c r="AV38">
        <v>171</v>
      </c>
      <c r="AW38" s="108">
        <v>0.65909090909090895</v>
      </c>
      <c r="AX38" s="131">
        <v>0.96551724137931005</v>
      </c>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row>
    <row r="39" spans="1:149" s="1" customFormat="1">
      <c r="A39" s="9">
        <v>38</v>
      </c>
      <c r="B39" s="1" t="s">
        <v>498</v>
      </c>
      <c r="C39" s="1" t="s">
        <v>499</v>
      </c>
      <c r="D39" s="119" t="s">
        <v>313</v>
      </c>
      <c r="E39" s="9">
        <v>0.214</v>
      </c>
      <c r="F39" s="118">
        <f>E39*Demographics!H39</f>
        <v>2798852.7140000002</v>
      </c>
      <c r="G39" s="379" t="s">
        <v>631</v>
      </c>
      <c r="H39" s="1">
        <v>0.17</v>
      </c>
      <c r="I39" s="118">
        <f>H39*Demographics!$H39</f>
        <v>2223387.6700000004</v>
      </c>
      <c r="J39" s="65" t="s">
        <v>632</v>
      </c>
      <c r="K39" s="1">
        <v>0.70099999999999996</v>
      </c>
      <c r="L39" s="118">
        <f>K39*Demographics!$H39</f>
        <v>9168204.4509999994</v>
      </c>
      <c r="M39" s="379" t="s">
        <v>631</v>
      </c>
      <c r="N39" s="1">
        <v>6.0000000000000001E-3</v>
      </c>
      <c r="O39" s="118">
        <f>N39*Demographics!$H39</f>
        <v>78472.506000000008</v>
      </c>
      <c r="P39" s="119" t="s">
        <v>313</v>
      </c>
      <c r="Q39" s="337">
        <f>Q33</f>
        <v>400</v>
      </c>
      <c r="R39" s="338">
        <f>R33</f>
        <v>0.54494382022471899</v>
      </c>
      <c r="S39" s="338">
        <f>S33</f>
        <v>0.95098039215686303</v>
      </c>
      <c r="T39" s="332" t="s">
        <v>313</v>
      </c>
      <c r="U39" s="337">
        <f>U33</f>
        <v>1209</v>
      </c>
      <c r="V39" s="338">
        <f>V33</f>
        <v>0.57894736842105299</v>
      </c>
      <c r="W39" s="338">
        <f>W33</f>
        <v>0.84615384615384603</v>
      </c>
      <c r="X39" s="339">
        <f>V39*W39*Demographics!$H39</f>
        <v>6406999.4777327962</v>
      </c>
      <c r="Y39" s="332" t="s">
        <v>313</v>
      </c>
      <c r="Z39" s="337">
        <f>Z33</f>
        <v>144</v>
      </c>
      <c r="AA39" s="338">
        <f>AA33</f>
        <v>0.63636363636363602</v>
      </c>
      <c r="AB39" s="338">
        <f>AB33</f>
        <v>1</v>
      </c>
      <c r="AC39" s="339">
        <f>AA39*AB39*Demographics!$H39</f>
        <v>8322841.5454545412</v>
      </c>
      <c r="AD39" s="332" t="s">
        <v>313</v>
      </c>
      <c r="AE39" s="340">
        <f>AE33</f>
        <v>1091</v>
      </c>
      <c r="AF39" s="344">
        <f>AF33</f>
        <v>0.39732142857142899</v>
      </c>
      <c r="AG39" s="344">
        <f>AG33</f>
        <v>0.85576923076923095</v>
      </c>
      <c r="AH39" s="341">
        <f>AF39*AG39*Demographics!$H39</f>
        <v>4446977.4498197176</v>
      </c>
      <c r="AI39" s="332" t="s">
        <v>313</v>
      </c>
      <c r="AJ39" s="342"/>
      <c r="AK39" s="345">
        <v>0.566071428571429</v>
      </c>
      <c r="AL39" s="345">
        <v>0.92744479495268095</v>
      </c>
      <c r="AM39" s="332" t="s">
        <v>313</v>
      </c>
      <c r="AN39" s="337"/>
      <c r="AO39" s="338">
        <v>0.50218340611353696</v>
      </c>
      <c r="AP39" s="338">
        <v>0.90434782608695696</v>
      </c>
      <c r="AQ39" s="332" t="s">
        <v>313</v>
      </c>
      <c r="AR39" t="s">
        <v>633</v>
      </c>
      <c r="AS39" s="338">
        <v>0.49822204662188901</v>
      </c>
      <c r="AT39" s="346">
        <v>0.91593973037272003</v>
      </c>
      <c r="AU39" s="332" t="s">
        <v>313</v>
      </c>
      <c r="AV39" s="340"/>
      <c r="AW39" s="344">
        <v>0.52770448548812698</v>
      </c>
      <c r="AX39" s="344">
        <v>0.89500000000000002</v>
      </c>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row>
    <row r="40" spans="1:149" s="1" customFormat="1">
      <c r="A40" s="9">
        <v>39</v>
      </c>
      <c r="B40" s="1" t="s">
        <v>503</v>
      </c>
      <c r="C40" s="1" t="s">
        <v>504</v>
      </c>
      <c r="D40" s="119" t="s">
        <v>313</v>
      </c>
      <c r="E40" s="9">
        <v>0.22600000000000001</v>
      </c>
      <c r="F40" s="118">
        <f>E40*Demographics!H40</f>
        <v>251381.60800000001</v>
      </c>
      <c r="G40" s="379" t="s">
        <v>631</v>
      </c>
      <c r="H40" s="1">
        <v>0.156</v>
      </c>
      <c r="I40" s="118">
        <f>H40*Demographics!$H40</f>
        <v>173520.04800000001</v>
      </c>
      <c r="J40" s="65" t="s">
        <v>632</v>
      </c>
      <c r="K40" s="1">
        <v>0.70499999999999996</v>
      </c>
      <c r="L40" s="118">
        <f>K40*Demographics!$H40</f>
        <v>784177.1399999999</v>
      </c>
      <c r="M40" s="379" t="s">
        <v>631</v>
      </c>
      <c r="N40" s="1">
        <v>8.0000000000000002E-3</v>
      </c>
      <c r="O40" s="118">
        <f>N40*Demographics!$H40</f>
        <v>8898.4639999999999</v>
      </c>
      <c r="P40" s="119" t="s">
        <v>313</v>
      </c>
      <c r="Q40">
        <v>311</v>
      </c>
      <c r="R40" s="108">
        <v>0.53488372093023295</v>
      </c>
      <c r="S40" s="108">
        <v>0.88461538461538503</v>
      </c>
      <c r="T40" s="119" t="s">
        <v>313</v>
      </c>
      <c r="U40">
        <v>1718</v>
      </c>
      <c r="V40" s="108">
        <v>0.53333333333333299</v>
      </c>
      <c r="W40" s="108">
        <v>1</v>
      </c>
      <c r="X40" s="118">
        <f>V40*W40*Demographics!$H40</f>
        <v>593230.933333333</v>
      </c>
      <c r="Y40" s="119" t="s">
        <v>313</v>
      </c>
      <c r="Z40">
        <v>140</v>
      </c>
      <c r="AA40" s="108">
        <v>0.23529411764705899</v>
      </c>
      <c r="AB40" s="108">
        <v>0.8</v>
      </c>
      <c r="AC40" s="118">
        <f>AA40*AB40*Demographics!$H40</f>
        <v>209375.62352941191</v>
      </c>
      <c r="AD40" s="119" t="s">
        <v>313</v>
      </c>
      <c r="AE40">
        <v>2413</v>
      </c>
      <c r="AF40" s="108">
        <v>0.50950570342205304</v>
      </c>
      <c r="AG40" s="108">
        <v>0.87581699346405195</v>
      </c>
      <c r="AH40" s="178">
        <f>AF40*AG40*Demographics!$H40</f>
        <v>496349.37369218882</v>
      </c>
      <c r="AI40" s="119" t="s">
        <v>313</v>
      </c>
      <c r="AJ40" s="76">
        <v>161</v>
      </c>
      <c r="AK40" s="108">
        <v>0.6</v>
      </c>
      <c r="AL40" s="108">
        <v>0.90909090909090895</v>
      </c>
      <c r="AM40" s="119" t="s">
        <v>313</v>
      </c>
      <c r="AN40">
        <v>321</v>
      </c>
      <c r="AO40" s="108">
        <v>0.48148148148148101</v>
      </c>
      <c r="AP40" s="108">
        <v>1</v>
      </c>
      <c r="AQ40" s="119" t="s">
        <v>313</v>
      </c>
      <c r="AR40" t="s">
        <v>633</v>
      </c>
      <c r="AS40" s="108">
        <v>0.536885245901639</v>
      </c>
      <c r="AT40" s="108">
        <v>0.92366412213740501</v>
      </c>
      <c r="AU40" s="119" t="s">
        <v>313</v>
      </c>
      <c r="AV40">
        <v>135</v>
      </c>
      <c r="AW40" s="108">
        <v>0.66666666666666696</v>
      </c>
      <c r="AX40" s="131">
        <v>0.88461538461538503</v>
      </c>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row>
    <row r="41" spans="1:149" s="1" customFormat="1">
      <c r="A41" s="9">
        <v>40</v>
      </c>
      <c r="B41" s="1" t="s">
        <v>508</v>
      </c>
      <c r="C41" s="1" t="s">
        <v>509</v>
      </c>
      <c r="D41" s="119" t="s">
        <v>313</v>
      </c>
      <c r="E41" s="9">
        <v>0.19900000000000001</v>
      </c>
      <c r="F41" s="118">
        <f>E41*Demographics!H41</f>
        <v>1090287.3689999999</v>
      </c>
      <c r="G41" s="379" t="s">
        <v>631</v>
      </c>
      <c r="H41" s="1">
        <v>0.17199999999999999</v>
      </c>
      <c r="I41" s="118">
        <f>H41*Demographics!$H41</f>
        <v>942358.93199999991</v>
      </c>
      <c r="J41" s="65" t="s">
        <v>632</v>
      </c>
      <c r="K41" s="1">
        <v>0.66799999999999993</v>
      </c>
      <c r="L41" s="118">
        <f>K41*Demographics!$H41</f>
        <v>3659859.1079999995</v>
      </c>
      <c r="M41" s="379" t="s">
        <v>631</v>
      </c>
      <c r="N41" s="1">
        <v>2.4E-2</v>
      </c>
      <c r="O41" s="118">
        <f>N41*Demographics!$H41</f>
        <v>131491.94399999999</v>
      </c>
      <c r="P41" s="119" t="s">
        <v>313</v>
      </c>
      <c r="Q41">
        <v>535</v>
      </c>
      <c r="R41" s="108">
        <v>0.56221198156681995</v>
      </c>
      <c r="S41" s="108">
        <v>0.96825396825396803</v>
      </c>
      <c r="T41" s="119" t="s">
        <v>313</v>
      </c>
      <c r="U41">
        <v>3500</v>
      </c>
      <c r="V41" s="108">
        <v>0.66666666666666696</v>
      </c>
      <c r="W41" s="108">
        <v>0.9</v>
      </c>
      <c r="X41" s="118">
        <f>V41*W41*Demographics!$H41</f>
        <v>3287298.6000000015</v>
      </c>
      <c r="Y41" s="119" t="s">
        <v>313</v>
      </c>
      <c r="Z41">
        <v>551</v>
      </c>
      <c r="AA41" s="108">
        <v>0.50943396226415105</v>
      </c>
      <c r="AB41" s="108">
        <v>0.96428571428571397</v>
      </c>
      <c r="AC41" s="118">
        <f>AA41*AB41*Demographics!$H41</f>
        <v>2691420.3497304576</v>
      </c>
      <c r="AD41" s="119" t="s">
        <v>313</v>
      </c>
      <c r="AE41">
        <v>3352</v>
      </c>
      <c r="AF41" s="108">
        <v>0.43142144638404001</v>
      </c>
      <c r="AG41" s="108">
        <v>0.91052631578947396</v>
      </c>
      <c r="AH41" s="178">
        <f>AF41*AG41*Demographics!$H41</f>
        <v>2152197.5718467003</v>
      </c>
      <c r="AI41" s="119" t="s">
        <v>313</v>
      </c>
      <c r="AJ41" s="76">
        <v>352</v>
      </c>
      <c r="AK41" s="108">
        <v>0.580838323353293</v>
      </c>
      <c r="AL41" s="108">
        <v>0.96907216494845405</v>
      </c>
      <c r="AM41" s="119" t="s">
        <v>313</v>
      </c>
      <c r="AN41">
        <v>813</v>
      </c>
      <c r="AO41" s="108">
        <v>0.73333333333333295</v>
      </c>
      <c r="AP41" s="108">
        <v>0.81818181818181801</v>
      </c>
      <c r="AQ41" s="119" t="s">
        <v>313</v>
      </c>
      <c r="AR41" t="s">
        <v>633</v>
      </c>
      <c r="AS41" s="108">
        <v>0.54233409610983996</v>
      </c>
      <c r="AT41" s="108">
        <v>0.949367088607595</v>
      </c>
      <c r="AU41" s="119" t="s">
        <v>313</v>
      </c>
      <c r="AV41">
        <v>367</v>
      </c>
      <c r="AW41" s="108">
        <v>0.5</v>
      </c>
      <c r="AX41" s="131">
        <v>0.91525423728813604</v>
      </c>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row>
    <row r="42" spans="1:149" s="1" customFormat="1">
      <c r="A42" s="9">
        <v>41</v>
      </c>
      <c r="B42" s="1" t="s">
        <v>513</v>
      </c>
      <c r="C42" s="1" t="s">
        <v>514</v>
      </c>
      <c r="D42" s="119" t="s">
        <v>313</v>
      </c>
      <c r="E42" s="9">
        <v>0.14699999999999999</v>
      </c>
      <c r="F42" s="118">
        <f>E42*Demographics!H42</f>
        <v>135926.34299999999</v>
      </c>
      <c r="G42" s="379" t="s">
        <v>631</v>
      </c>
      <c r="H42" s="1">
        <v>0.155</v>
      </c>
      <c r="I42" s="118">
        <f>H42*Demographics!$H42</f>
        <v>143323.69500000001</v>
      </c>
      <c r="J42" s="65" t="s">
        <v>632</v>
      </c>
      <c r="K42" s="1">
        <v>0.73299999999999998</v>
      </c>
      <c r="L42" s="118">
        <f>K42*Demographics!$H42</f>
        <v>677782.37699999998</v>
      </c>
      <c r="M42" s="379" t="s">
        <v>631</v>
      </c>
      <c r="N42" s="1">
        <v>2.1999999999999999E-2</v>
      </c>
      <c r="O42" s="118">
        <f>N42*Demographics!$H42</f>
        <v>20342.717999999997</v>
      </c>
      <c r="P42" s="119" t="s">
        <v>313</v>
      </c>
      <c r="Q42">
        <v>283</v>
      </c>
      <c r="R42" s="108">
        <v>0.54166666666666696</v>
      </c>
      <c r="S42" s="108">
        <v>1</v>
      </c>
      <c r="T42" s="119" t="s">
        <v>313</v>
      </c>
      <c r="U42">
        <v>1867</v>
      </c>
      <c r="V42" s="108">
        <v>0.72</v>
      </c>
      <c r="W42" s="108">
        <v>1</v>
      </c>
      <c r="X42" s="118">
        <f>V42*W42*Demographics!$H42</f>
        <v>665761.67999999993</v>
      </c>
      <c r="Y42" s="119" t="s">
        <v>313</v>
      </c>
      <c r="Z42">
        <v>385</v>
      </c>
      <c r="AA42" s="108">
        <v>0.57575757575757602</v>
      </c>
      <c r="AB42" s="108">
        <v>0.95</v>
      </c>
      <c r="AC42" s="118">
        <f>AA42*AB42*Demographics!$H42</f>
        <v>505765.92272727296</v>
      </c>
      <c r="AD42" s="119" t="s">
        <v>313</v>
      </c>
      <c r="AE42">
        <v>2346</v>
      </c>
      <c r="AF42" s="108">
        <v>0.41970802919708</v>
      </c>
      <c r="AG42" s="108">
        <v>0.90551181102362199</v>
      </c>
      <c r="AH42" s="178">
        <f>AF42*AG42*Demographics!$H42</f>
        <v>351420.98755675589</v>
      </c>
      <c r="AI42" s="119" t="s">
        <v>313</v>
      </c>
      <c r="AJ42" s="76">
        <v>184</v>
      </c>
      <c r="AK42" s="108">
        <v>0.54794520547945202</v>
      </c>
      <c r="AL42" s="108">
        <v>1</v>
      </c>
      <c r="AM42" s="119" t="s">
        <v>313</v>
      </c>
      <c r="AN42">
        <v>419</v>
      </c>
      <c r="AO42" s="108">
        <v>0.8</v>
      </c>
      <c r="AP42" s="108">
        <v>1</v>
      </c>
      <c r="AQ42" s="119" t="s">
        <v>313</v>
      </c>
      <c r="AR42" t="s">
        <v>633</v>
      </c>
      <c r="AS42" s="108">
        <v>0.58222222222222197</v>
      </c>
      <c r="AT42" s="108">
        <v>0.954198473282443</v>
      </c>
      <c r="AU42" s="119" t="s">
        <v>313</v>
      </c>
      <c r="AV42">
        <v>213</v>
      </c>
      <c r="AW42" s="108">
        <v>0.56603773584905703</v>
      </c>
      <c r="AX42" s="131">
        <v>0.96666666666666701</v>
      </c>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row>
    <row r="43" spans="1:149" s="1" customFormat="1">
      <c r="A43" s="9">
        <v>42</v>
      </c>
      <c r="B43" s="1" t="s">
        <v>518</v>
      </c>
      <c r="C43" s="1" t="s">
        <v>519</v>
      </c>
      <c r="D43" s="119" t="s">
        <v>313</v>
      </c>
      <c r="E43" s="9">
        <v>0.19900000000000001</v>
      </c>
      <c r="F43" s="118">
        <f>E43*Demographics!H43</f>
        <v>1438322.25</v>
      </c>
      <c r="G43" s="379" t="s">
        <v>631</v>
      </c>
      <c r="H43" s="1">
        <v>0.155</v>
      </c>
      <c r="I43" s="118">
        <f>H43*Demographics!$H43</f>
        <v>1120301.25</v>
      </c>
      <c r="J43" s="65" t="s">
        <v>632</v>
      </c>
      <c r="K43" s="1">
        <v>0.66299999999999992</v>
      </c>
      <c r="L43" s="118">
        <f>K43*Demographics!$H43</f>
        <v>4791998.2499999991</v>
      </c>
      <c r="M43" s="379" t="s">
        <v>631</v>
      </c>
      <c r="N43" s="1">
        <v>1.6E-2</v>
      </c>
      <c r="O43" s="118">
        <f>N43*Demographics!$H43</f>
        <v>115644</v>
      </c>
      <c r="P43" s="119" t="s">
        <v>313</v>
      </c>
      <c r="Q43" s="337">
        <f>Q2</f>
        <v>489</v>
      </c>
      <c r="R43" s="338">
        <f>R2</f>
        <v>0.58823529411764697</v>
      </c>
      <c r="S43" s="338">
        <f>S2</f>
        <v>0.94339622641509402</v>
      </c>
      <c r="T43" s="332" t="s">
        <v>313</v>
      </c>
      <c r="U43" s="340">
        <f>U2</f>
        <v>1494</v>
      </c>
      <c r="V43" s="330">
        <f>V2</f>
        <v>0.61904761904761896</v>
      </c>
      <c r="W43" s="330">
        <f>W2</f>
        <v>0.92857142857142905</v>
      </c>
      <c r="X43" s="339">
        <f>V43*W43*Demographics!$H43</f>
        <v>4154727.040816328</v>
      </c>
      <c r="Y43" s="332" t="s">
        <v>313</v>
      </c>
      <c r="Z43" s="340">
        <f>Z2</f>
        <v>378</v>
      </c>
      <c r="AA43" s="330">
        <f>AA2</f>
        <v>0.4</v>
      </c>
      <c r="AB43" s="330">
        <f>AB2</f>
        <v>0.91666666666666696</v>
      </c>
      <c r="AC43" s="339">
        <f>AA43*AB43*Demographics!$H43</f>
        <v>2650175.0000000009</v>
      </c>
      <c r="AD43" s="332" t="s">
        <v>313</v>
      </c>
      <c r="AE43" s="340">
        <f>AE2</f>
        <v>2112</v>
      </c>
      <c r="AF43" s="330">
        <f>AF2</f>
        <v>0.43262411347517699</v>
      </c>
      <c r="AG43" s="344">
        <f>AG2</f>
        <v>0.89051094890510996</v>
      </c>
      <c r="AH43" s="341">
        <f>AF43*AG43*Demographics!$H43</f>
        <v>2784537.7387793129</v>
      </c>
      <c r="AI43" s="332" t="s">
        <v>313</v>
      </c>
      <c r="AJ43" s="342"/>
      <c r="AK43" s="345">
        <v>0.69333333333333302</v>
      </c>
      <c r="AL43" s="345">
        <v>0.94230769230769196</v>
      </c>
      <c r="AM43" s="332" t="s">
        <v>313</v>
      </c>
      <c r="AN43" s="340"/>
      <c r="AO43" s="330">
        <v>0.93333333333333302</v>
      </c>
      <c r="AP43" s="330">
        <v>1</v>
      </c>
      <c r="AQ43" s="332" t="s">
        <v>313</v>
      </c>
      <c r="AR43" t="s">
        <v>633</v>
      </c>
      <c r="AS43" s="333">
        <v>0.64468864468864495</v>
      </c>
      <c r="AT43" s="333">
        <v>0.96022727272727304</v>
      </c>
      <c r="AU43" s="332" t="s">
        <v>313</v>
      </c>
      <c r="AV43" s="340"/>
      <c r="AW43" s="330">
        <v>0.53271028037383195</v>
      </c>
      <c r="AX43" s="344">
        <v>0.929824561403509</v>
      </c>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row>
    <row r="44" spans="1:149" s="1" customFormat="1">
      <c r="A44" s="9">
        <v>43</v>
      </c>
      <c r="B44" s="1" t="s">
        <v>523</v>
      </c>
      <c r="C44" s="1" t="s">
        <v>524</v>
      </c>
      <c r="D44" s="119" t="s">
        <v>313</v>
      </c>
      <c r="E44" s="9">
        <v>0.16200000000000001</v>
      </c>
      <c r="F44" s="118">
        <f>E44*Demographics!H44</f>
        <v>5069114.6220000004</v>
      </c>
      <c r="G44" s="379" t="s">
        <v>631</v>
      </c>
      <c r="H44" s="1">
        <v>0.114</v>
      </c>
      <c r="I44" s="118">
        <f>H44*Demographics!$H44</f>
        <v>3567154.7340000002</v>
      </c>
      <c r="J44" s="65" t="s">
        <v>632</v>
      </c>
      <c r="K44" s="1">
        <v>0.63300000000000001</v>
      </c>
      <c r="L44" s="118">
        <f>K44*Demographics!$H44</f>
        <v>19807096.023000002</v>
      </c>
      <c r="M44" s="379" t="s">
        <v>631</v>
      </c>
      <c r="N44" s="1">
        <v>1.7000000000000001E-2</v>
      </c>
      <c r="O44" s="118">
        <f>N44*Demographics!$H44</f>
        <v>531944.12700000009</v>
      </c>
      <c r="P44" s="119" t="s">
        <v>313</v>
      </c>
      <c r="Q44">
        <v>479</v>
      </c>
      <c r="R44" s="108">
        <v>0.56862745098039202</v>
      </c>
      <c r="S44" s="108">
        <v>0.93548387096774199</v>
      </c>
      <c r="T44" s="119" t="s">
        <v>313</v>
      </c>
      <c r="U44">
        <v>2920</v>
      </c>
      <c r="V44" s="108">
        <v>0.62711864406779705</v>
      </c>
      <c r="W44" s="108">
        <v>0.97368421052631604</v>
      </c>
      <c r="X44" s="118">
        <f>V44*W44*Demographics!$H44</f>
        <v>19106667.100356843</v>
      </c>
      <c r="Y44" s="119" t="s">
        <v>313</v>
      </c>
      <c r="Z44">
        <v>765</v>
      </c>
      <c r="AA44" s="108">
        <v>0.53658536585365901</v>
      </c>
      <c r="AB44" s="108">
        <v>0.98507462686567204</v>
      </c>
      <c r="AC44" s="118">
        <f>AA44*AB44*Demographics!$H44</f>
        <v>16539601.970149275</v>
      </c>
      <c r="AD44" s="119" t="s">
        <v>313</v>
      </c>
      <c r="AE44">
        <v>5467</v>
      </c>
      <c r="AF44" s="108">
        <v>0.47159090909090901</v>
      </c>
      <c r="AG44" s="108">
        <v>0.91208791208791196</v>
      </c>
      <c r="AH44" s="178">
        <f>AF44*AG44*Demographics!$H44</f>
        <v>13459199.223214282</v>
      </c>
      <c r="AI44" s="119" t="s">
        <v>313</v>
      </c>
      <c r="AJ44" s="76">
        <v>280</v>
      </c>
      <c r="AK44" s="108">
        <v>0.60144927536231896</v>
      </c>
      <c r="AL44" s="108">
        <v>0.93975903614457801</v>
      </c>
      <c r="AM44" s="119" t="s">
        <v>313</v>
      </c>
      <c r="AN44">
        <v>697</v>
      </c>
      <c r="AO44" s="108">
        <v>0.67567567567567599</v>
      </c>
      <c r="AP44" s="108">
        <v>0.96</v>
      </c>
      <c r="AQ44" s="119" t="s">
        <v>313</v>
      </c>
      <c r="AR44" t="s">
        <v>633</v>
      </c>
      <c r="AS44" s="108">
        <v>0.51932989690721698</v>
      </c>
      <c r="AT44" s="108">
        <v>0.93300248138957798</v>
      </c>
      <c r="AU44" s="119" t="s">
        <v>313</v>
      </c>
      <c r="AV44">
        <v>574</v>
      </c>
      <c r="AW44" s="108">
        <v>0.52803738317756999</v>
      </c>
      <c r="AX44" s="131">
        <v>0.893805309734513</v>
      </c>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row>
    <row r="45" spans="1:149" s="1" customFormat="1">
      <c r="A45" s="9">
        <v>44</v>
      </c>
      <c r="B45" s="1" t="s">
        <v>528</v>
      </c>
      <c r="C45" s="1" t="s">
        <v>529</v>
      </c>
      <c r="D45" s="119" t="s">
        <v>313</v>
      </c>
      <c r="E45" s="9">
        <v>0.113</v>
      </c>
      <c r="F45" s="118">
        <f>E45*Demographics!H45</f>
        <v>395908.26900000003</v>
      </c>
      <c r="G45" s="379" t="s">
        <v>631</v>
      </c>
      <c r="H45" s="1">
        <v>0.104</v>
      </c>
      <c r="I45" s="118">
        <f>H45*Demographics!$H45</f>
        <v>364375.75199999998</v>
      </c>
      <c r="J45" s="65" t="s">
        <v>632</v>
      </c>
      <c r="K45" s="1">
        <v>0.78099999999999992</v>
      </c>
      <c r="L45" s="118">
        <f>K45*Demographics!$H45</f>
        <v>2736321.7529999996</v>
      </c>
      <c r="M45" s="379" t="s">
        <v>631</v>
      </c>
      <c r="N45" s="1">
        <v>0.01</v>
      </c>
      <c r="O45" s="118">
        <f>N45*Demographics!$H45</f>
        <v>35036.129999999997</v>
      </c>
      <c r="P45" s="119" t="s">
        <v>313</v>
      </c>
      <c r="Q45">
        <v>585</v>
      </c>
      <c r="R45" s="108">
        <v>0.63241106719367601</v>
      </c>
      <c r="S45" s="108">
        <v>0.952380952380952</v>
      </c>
      <c r="T45" s="119" t="s">
        <v>313</v>
      </c>
      <c r="U45">
        <v>3379</v>
      </c>
      <c r="V45" s="108">
        <v>0.60606060606060597</v>
      </c>
      <c r="W45" s="108">
        <v>0.952380952380952</v>
      </c>
      <c r="X45" s="118">
        <f>V45*W45*Demographics!$H45</f>
        <v>2022287.4458874445</v>
      </c>
      <c r="Y45" s="119" t="s">
        <v>313</v>
      </c>
      <c r="Z45">
        <v>295</v>
      </c>
      <c r="AA45" s="108">
        <v>0.60526315789473695</v>
      </c>
      <c r="AB45" s="108">
        <v>0.95833333333333304</v>
      </c>
      <c r="AC45" s="118">
        <f>AA45*AB45*Demographics!$H45</f>
        <v>2032249.207236842</v>
      </c>
      <c r="AD45" s="119" t="s">
        <v>313</v>
      </c>
      <c r="AE45">
        <v>6668</v>
      </c>
      <c r="AF45" s="108">
        <v>0.50261506276150603</v>
      </c>
      <c r="AG45" s="108">
        <v>0.89813084112149499</v>
      </c>
      <c r="AH45" s="178">
        <f>AF45*AG45*Demographics!$H45</f>
        <v>1581580.2708779755</v>
      </c>
      <c r="AI45" s="119" t="s">
        <v>313</v>
      </c>
      <c r="AJ45" s="76">
        <v>325</v>
      </c>
      <c r="AK45" s="108">
        <v>0.664556962025316</v>
      </c>
      <c r="AL45" s="108">
        <v>0.93333333333333302</v>
      </c>
      <c r="AM45" s="119" t="s">
        <v>313</v>
      </c>
      <c r="AN45">
        <v>549</v>
      </c>
      <c r="AO45" s="108">
        <v>0.69565217391304301</v>
      </c>
      <c r="AP45" s="108">
        <v>1</v>
      </c>
      <c r="AQ45" s="119" t="s">
        <v>313</v>
      </c>
      <c r="AR45" t="s">
        <v>633</v>
      </c>
      <c r="AS45" s="108">
        <v>0.56985871271585598</v>
      </c>
      <c r="AT45" s="108">
        <v>0.91460055096418702</v>
      </c>
      <c r="AU45" s="119" t="s">
        <v>313</v>
      </c>
      <c r="AV45">
        <v>660</v>
      </c>
      <c r="AW45" s="108">
        <v>0.55212355212355202</v>
      </c>
      <c r="AX45" s="131">
        <v>0.90209790209790197</v>
      </c>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row>
    <row r="46" spans="1:149" s="1" customFormat="1">
      <c r="A46" s="9">
        <v>45</v>
      </c>
      <c r="B46" s="1" t="s">
        <v>533</v>
      </c>
      <c r="C46" s="1" t="s">
        <v>534</v>
      </c>
      <c r="D46" s="119" t="s">
        <v>313</v>
      </c>
      <c r="E46" s="9">
        <v>0.22500000000000001</v>
      </c>
      <c r="F46" s="118">
        <f>E46*Demographics!H46</f>
        <v>145910.92500000002</v>
      </c>
      <c r="G46" s="379" t="s">
        <v>631</v>
      </c>
      <c r="H46" s="1">
        <v>0.189</v>
      </c>
      <c r="I46" s="118">
        <f>H46*Demographics!$H46</f>
        <v>122565.177</v>
      </c>
      <c r="J46" s="65" t="s">
        <v>632</v>
      </c>
      <c r="K46" s="1">
        <v>0.69900000000000007</v>
      </c>
      <c r="L46" s="118">
        <f>K46*Demographics!$H46</f>
        <v>453296.60700000002</v>
      </c>
      <c r="M46" s="379" t="s">
        <v>631</v>
      </c>
      <c r="N46" s="1">
        <v>4.0000000000000001E-3</v>
      </c>
      <c r="O46" s="118">
        <f>N46*Demographics!$H46</f>
        <v>2593.9720000000002</v>
      </c>
      <c r="P46" s="119" t="s">
        <v>313</v>
      </c>
      <c r="Q46">
        <v>510</v>
      </c>
      <c r="R46" s="108">
        <v>0.65714285714285703</v>
      </c>
      <c r="S46" s="108">
        <v>0.95833333333333304</v>
      </c>
      <c r="T46" s="119" t="s">
        <v>313</v>
      </c>
      <c r="U46">
        <v>2605</v>
      </c>
      <c r="V46" s="108">
        <v>0.78873239436619702</v>
      </c>
      <c r="W46" s="108">
        <v>1</v>
      </c>
      <c r="X46" s="118">
        <f>V46*W46*Demographics!$H46</f>
        <v>511487.43661971821</v>
      </c>
      <c r="Y46" s="119" t="s">
        <v>313</v>
      </c>
      <c r="Z46">
        <v>446</v>
      </c>
      <c r="AA46" s="108">
        <v>0.48148148148148101</v>
      </c>
      <c r="AB46" s="108">
        <v>0.90697674418604601</v>
      </c>
      <c r="AC46" s="118">
        <f>AA46*AB46*Demographics!$H46</f>
        <v>283192.03359173087</v>
      </c>
      <c r="AD46" s="119" t="s">
        <v>313</v>
      </c>
      <c r="AE46">
        <v>2637</v>
      </c>
      <c r="AF46" s="108">
        <v>0.43987823439878199</v>
      </c>
      <c r="AG46" s="108">
        <v>0.88109756097560998</v>
      </c>
      <c r="AH46" s="178">
        <f>AF46*AG46*Demographics!$H46</f>
        <v>251340.0891571072</v>
      </c>
      <c r="AI46" s="119" t="s">
        <v>313</v>
      </c>
      <c r="AJ46" s="76">
        <v>214</v>
      </c>
      <c r="AK46" s="108">
        <v>0.83750000000000002</v>
      </c>
      <c r="AL46" s="108">
        <v>0.97014925373134298</v>
      </c>
      <c r="AM46" s="119" t="s">
        <v>313</v>
      </c>
      <c r="AN46">
        <v>378</v>
      </c>
      <c r="AO46" s="108">
        <v>0.8125</v>
      </c>
      <c r="AP46" s="108">
        <v>0.92307692307692302</v>
      </c>
      <c r="AQ46" s="119" t="s">
        <v>313</v>
      </c>
      <c r="AR46" t="s">
        <v>633</v>
      </c>
      <c r="AS46" s="108">
        <v>0.75151515151515103</v>
      </c>
      <c r="AT46" s="108">
        <v>0.92741935483870996</v>
      </c>
      <c r="AU46" s="119" t="s">
        <v>313</v>
      </c>
      <c r="AV46">
        <v>147</v>
      </c>
      <c r="AW46" s="108">
        <v>0.63414634146341498</v>
      </c>
      <c r="AX46" s="131">
        <v>0.88461538461538503</v>
      </c>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row>
    <row r="47" spans="1:149" s="1" customFormat="1">
      <c r="A47" s="9">
        <v>46</v>
      </c>
      <c r="B47" s="1" t="s">
        <v>538</v>
      </c>
      <c r="C47" s="1" t="s">
        <v>539</v>
      </c>
      <c r="D47" s="119" t="s">
        <v>313</v>
      </c>
      <c r="E47" s="9">
        <v>0.17100000000000001</v>
      </c>
      <c r="F47" s="118">
        <f>E47*Demographics!H47</f>
        <v>1506714.3450000002</v>
      </c>
      <c r="G47" s="379" t="s">
        <v>631</v>
      </c>
      <c r="H47" s="1">
        <v>0.154</v>
      </c>
      <c r="I47" s="118">
        <f>H47*Demographics!$H47</f>
        <v>1356924.03</v>
      </c>
      <c r="J47" s="65" t="s">
        <v>632</v>
      </c>
      <c r="K47" s="1">
        <v>0.72799999999999998</v>
      </c>
      <c r="L47" s="118">
        <f>K47*Demographics!$H47</f>
        <v>6414549.96</v>
      </c>
      <c r="M47" s="379" t="s">
        <v>631</v>
      </c>
      <c r="N47" s="1">
        <v>0.04</v>
      </c>
      <c r="O47" s="118">
        <f>N47*Demographics!$H47</f>
        <v>352447.8</v>
      </c>
      <c r="P47" s="119" t="s">
        <v>313</v>
      </c>
      <c r="Q47">
        <v>426</v>
      </c>
      <c r="R47" s="108">
        <v>0.75555555555555598</v>
      </c>
      <c r="S47" s="108">
        <v>0.97142857142857097</v>
      </c>
      <c r="T47" s="119" t="s">
        <v>313</v>
      </c>
      <c r="U47">
        <v>2233</v>
      </c>
      <c r="V47" s="108">
        <v>0.70370370370370405</v>
      </c>
      <c r="W47" s="108">
        <v>0.95</v>
      </c>
      <c r="X47" s="118">
        <f>V47*W47*Demographics!$H47</f>
        <v>5890447.0277777808</v>
      </c>
      <c r="Y47" s="119" t="s">
        <v>313</v>
      </c>
      <c r="Z47">
        <v>176</v>
      </c>
      <c r="AA47" s="108">
        <v>0.54545454545454497</v>
      </c>
      <c r="AB47" s="108">
        <v>0.85714285714285698</v>
      </c>
      <c r="AC47" s="118">
        <f>AA47*AB47*Demographics!$H47</f>
        <v>4119519.7402597358</v>
      </c>
      <c r="AD47" s="119" t="s">
        <v>313</v>
      </c>
      <c r="AE47">
        <v>3006</v>
      </c>
      <c r="AF47" s="108">
        <v>0.46288209606986902</v>
      </c>
      <c r="AG47" s="108">
        <v>0.85945945945946001</v>
      </c>
      <c r="AH47" s="178">
        <f>AF47*AG47*Demographics!$H47</f>
        <v>3505343.5744128432</v>
      </c>
      <c r="AI47" s="119" t="s">
        <v>313</v>
      </c>
      <c r="AJ47" s="76">
        <v>306</v>
      </c>
      <c r="AK47" s="108">
        <v>0.71052631578947401</v>
      </c>
      <c r="AL47" s="108">
        <v>0.97530864197530898</v>
      </c>
      <c r="AM47" s="119" t="s">
        <v>313</v>
      </c>
      <c r="AN47">
        <v>485</v>
      </c>
      <c r="AO47" s="108">
        <v>0.76190476190476197</v>
      </c>
      <c r="AP47" s="108">
        <v>1</v>
      </c>
      <c r="AQ47" s="119" t="s">
        <v>313</v>
      </c>
      <c r="AR47" t="s">
        <v>633</v>
      </c>
      <c r="AS47" s="108">
        <v>0.59230769230769198</v>
      </c>
      <c r="AT47" s="108">
        <v>0.94805194805194803</v>
      </c>
      <c r="AU47" s="119" t="s">
        <v>313</v>
      </c>
      <c r="AV47">
        <v>219</v>
      </c>
      <c r="AW47" s="108">
        <v>0.5</v>
      </c>
      <c r="AX47" s="131">
        <v>0.85294117647058798</v>
      </c>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row>
    <row r="48" spans="1:149" s="1" customFormat="1">
      <c r="A48" s="9">
        <v>47</v>
      </c>
      <c r="B48" s="1" t="s">
        <v>543</v>
      </c>
      <c r="C48" s="1" t="s">
        <v>544</v>
      </c>
      <c r="D48" s="119" t="s">
        <v>313</v>
      </c>
      <c r="E48" s="9">
        <v>0.20300000000000001</v>
      </c>
      <c r="F48" s="118">
        <f>E48*Demographics!H48</f>
        <v>1615510.54</v>
      </c>
      <c r="G48" s="379" t="s">
        <v>631</v>
      </c>
      <c r="H48" s="1">
        <v>0.14499999999999999</v>
      </c>
      <c r="I48" s="118">
        <f>H48*Demographics!$H48</f>
        <v>1153936.0999999999</v>
      </c>
      <c r="J48" s="65" t="s">
        <v>632</v>
      </c>
      <c r="K48" s="1">
        <v>0.70200000000000007</v>
      </c>
      <c r="L48" s="118">
        <f>K48*Demographics!$H48</f>
        <v>5586642.3600000003</v>
      </c>
      <c r="M48" s="379" t="s">
        <v>631</v>
      </c>
      <c r="N48" s="1">
        <v>1.7000000000000001E-2</v>
      </c>
      <c r="O48" s="118">
        <f>N48*Demographics!$H48</f>
        <v>135289.06</v>
      </c>
      <c r="P48" s="119" t="s">
        <v>313</v>
      </c>
      <c r="Q48">
        <v>961</v>
      </c>
      <c r="R48" s="108">
        <v>0.69902912621359203</v>
      </c>
      <c r="S48" s="108">
        <v>0.95154185022026405</v>
      </c>
      <c r="T48" s="119" t="s">
        <v>313</v>
      </c>
      <c r="U48">
        <v>8212</v>
      </c>
      <c r="V48" s="108">
        <v>0.52</v>
      </c>
      <c r="W48" s="108">
        <v>0.92857142857142805</v>
      </c>
      <c r="X48" s="118">
        <f>V48*W48*Demographics!$H48</f>
        <v>3842664.0571428551</v>
      </c>
      <c r="Y48" s="119" t="s">
        <v>313</v>
      </c>
      <c r="Z48">
        <v>970</v>
      </c>
      <c r="AA48" s="108">
        <v>0.62393162393162405</v>
      </c>
      <c r="AB48" s="108">
        <v>0.96052631578947401</v>
      </c>
      <c r="AC48" s="118">
        <f>AA48*AB48*Demographics!$H48</f>
        <v>4769359.1115609566</v>
      </c>
      <c r="AD48" s="119" t="s">
        <v>313</v>
      </c>
      <c r="AE48">
        <v>12005</v>
      </c>
      <c r="AF48" s="108">
        <v>0.49179767600820201</v>
      </c>
      <c r="AG48" s="108">
        <v>0.909033480732786</v>
      </c>
      <c r="AH48" s="178">
        <f>AF48*AG48*Demographics!$H48</f>
        <v>3557788.3535678321</v>
      </c>
      <c r="AI48" s="119" t="s">
        <v>313</v>
      </c>
      <c r="AJ48" s="76">
        <v>529</v>
      </c>
      <c r="AK48" s="108">
        <v>0.786885245901639</v>
      </c>
      <c r="AL48" s="108">
        <v>0.95138888888888895</v>
      </c>
      <c r="AM48" s="119" t="s">
        <v>313</v>
      </c>
      <c r="AN48">
        <v>1283</v>
      </c>
      <c r="AO48" s="108">
        <v>0.65217391304347805</v>
      </c>
      <c r="AP48" s="108">
        <v>0.91111111111111098</v>
      </c>
      <c r="AQ48" s="119" t="s">
        <v>313</v>
      </c>
      <c r="AR48" t="s">
        <v>633</v>
      </c>
      <c r="AS48" s="108">
        <v>0.60697115384615397</v>
      </c>
      <c r="AT48" s="108">
        <v>0.95445544554455497</v>
      </c>
      <c r="AU48" s="119" t="s">
        <v>313</v>
      </c>
      <c r="AV48">
        <v>610</v>
      </c>
      <c r="AW48" s="108">
        <v>0.56647398843930596</v>
      </c>
      <c r="AX48" s="131">
        <v>0.97959183673469397</v>
      </c>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row>
    <row r="49" spans="1:149" s="1" customFormat="1">
      <c r="A49" s="9">
        <v>48</v>
      </c>
      <c r="B49" s="1" t="s">
        <v>548</v>
      </c>
      <c r="C49" s="1" t="s">
        <v>549</v>
      </c>
      <c r="D49" s="119" t="s">
        <v>313</v>
      </c>
      <c r="E49" s="9">
        <v>0.26200000000000001</v>
      </c>
      <c r="F49" s="118">
        <f>E49*Demographics!H49</f>
        <v>463734.49800000002</v>
      </c>
      <c r="G49" s="379" t="s">
        <v>631</v>
      </c>
      <c r="H49" s="1">
        <v>0.19500000000000001</v>
      </c>
      <c r="I49" s="118">
        <f>H49*Demographics!$H49</f>
        <v>345145.90500000003</v>
      </c>
      <c r="J49" s="65" t="s">
        <v>632</v>
      </c>
      <c r="K49" s="1">
        <v>0.63300000000000001</v>
      </c>
      <c r="L49" s="118">
        <f>K49*Demographics!$H49</f>
        <v>1120396.7069999999</v>
      </c>
      <c r="M49" s="379" t="s">
        <v>631</v>
      </c>
      <c r="N49" s="1">
        <v>1.2E-2</v>
      </c>
      <c r="O49" s="118">
        <f>N49*Demographics!$H49</f>
        <v>21239.748</v>
      </c>
      <c r="P49" s="119" t="s">
        <v>313</v>
      </c>
      <c r="Q49">
        <v>536</v>
      </c>
      <c r="R49" s="108">
        <v>0.62328767123287698</v>
      </c>
      <c r="S49" s="108">
        <v>0.90099009900990101</v>
      </c>
      <c r="T49" s="119" t="s">
        <v>313</v>
      </c>
      <c r="U49">
        <v>5425</v>
      </c>
      <c r="V49" s="108">
        <v>0.76978417266187005</v>
      </c>
      <c r="W49" s="108">
        <v>0.946902654867257</v>
      </c>
      <c r="X49" s="118">
        <f>V49*W49*Demographics!$H49</f>
        <v>1290156.5907557136</v>
      </c>
      <c r="Y49" s="119" t="s">
        <v>313</v>
      </c>
      <c r="Z49">
        <v>455</v>
      </c>
      <c r="AA49" s="108">
        <v>0.65625</v>
      </c>
      <c r="AB49" s="108">
        <v>0.875</v>
      </c>
      <c r="AC49" s="118">
        <f>AA49*AB49*Demographics!$H49</f>
        <v>1016355.12890625</v>
      </c>
      <c r="AD49" s="119" t="s">
        <v>313</v>
      </c>
      <c r="AE49">
        <v>4856</v>
      </c>
      <c r="AF49" s="108">
        <v>0.48380566801619401</v>
      </c>
      <c r="AG49" s="108">
        <v>0.87706422018348595</v>
      </c>
      <c r="AH49" s="178">
        <f>AF49*AG49*Demographics!$H49</f>
        <v>751052.78356052376</v>
      </c>
      <c r="AI49" s="119" t="s">
        <v>313</v>
      </c>
      <c r="AJ49" s="76">
        <v>360</v>
      </c>
      <c r="AK49" s="108">
        <v>0.816455696202532</v>
      </c>
      <c r="AL49" s="108">
        <v>0.97674418604651203</v>
      </c>
      <c r="AM49" s="119" t="s">
        <v>313</v>
      </c>
      <c r="AN49">
        <v>643</v>
      </c>
      <c r="AO49" s="108">
        <v>0.71794871794871795</v>
      </c>
      <c r="AP49" s="108">
        <v>0.92857142857142805</v>
      </c>
      <c r="AQ49" s="119" t="s">
        <v>313</v>
      </c>
      <c r="AR49" t="s">
        <v>633</v>
      </c>
      <c r="AS49" s="108">
        <v>0.77319587628866004</v>
      </c>
      <c r="AT49" s="108">
        <v>0.96444444444444399</v>
      </c>
      <c r="AU49" s="119" t="s">
        <v>313</v>
      </c>
      <c r="AV49">
        <v>148</v>
      </c>
      <c r="AW49" s="108">
        <v>0.66</v>
      </c>
      <c r="AX49" s="131">
        <v>0.96969696969696995</v>
      </c>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row>
    <row r="50" spans="1:149" s="1" customFormat="1">
      <c r="A50" s="9">
        <v>49</v>
      </c>
      <c r="B50" s="1" t="s">
        <v>553</v>
      </c>
      <c r="C50" s="1" t="s">
        <v>554</v>
      </c>
      <c r="D50" s="119" t="s">
        <v>313</v>
      </c>
      <c r="E50" s="9">
        <v>0.182</v>
      </c>
      <c r="F50" s="118">
        <f>E50*Demographics!H50</f>
        <v>1084897.45</v>
      </c>
      <c r="G50" s="379" t="s">
        <v>631</v>
      </c>
      <c r="H50" s="1">
        <v>0.16600000000000001</v>
      </c>
      <c r="I50" s="118">
        <f>H50*Demographics!$H50</f>
        <v>989521.85000000009</v>
      </c>
      <c r="J50" s="65" t="s">
        <v>632</v>
      </c>
      <c r="K50" s="1">
        <v>0.72799999999999998</v>
      </c>
      <c r="L50" s="118">
        <f>K50*Demographics!$H50</f>
        <v>4339589.8</v>
      </c>
      <c r="M50" s="379" t="s">
        <v>631</v>
      </c>
      <c r="N50" s="1">
        <v>8.0000000000000002E-3</v>
      </c>
      <c r="O50" s="118">
        <f>N50*Demographics!$H50</f>
        <v>47687.8</v>
      </c>
      <c r="P50" s="119" t="s">
        <v>313</v>
      </c>
      <c r="Q50">
        <v>547</v>
      </c>
      <c r="R50" s="108">
        <v>0.77828054298642502</v>
      </c>
      <c r="S50" s="108">
        <v>0.98285714285714298</v>
      </c>
      <c r="T50" s="119" t="s">
        <v>313</v>
      </c>
      <c r="U50">
        <v>2295</v>
      </c>
      <c r="V50" s="108">
        <v>0.75</v>
      </c>
      <c r="W50" s="108">
        <v>0.96</v>
      </c>
      <c r="X50" s="118">
        <f>V50*W50*Demographics!$H50</f>
        <v>4291902</v>
      </c>
      <c r="Y50" s="119" t="s">
        <v>313</v>
      </c>
      <c r="Z50">
        <v>227</v>
      </c>
      <c r="AA50" s="108">
        <v>0.76923076923076905</v>
      </c>
      <c r="AB50" s="108">
        <v>1</v>
      </c>
      <c r="AC50" s="118">
        <f>AA50*AB50*Demographics!$H50</f>
        <v>4585365.3846153831</v>
      </c>
      <c r="AD50" s="119" t="s">
        <v>313</v>
      </c>
      <c r="AE50">
        <v>2153</v>
      </c>
      <c r="AF50" s="108">
        <v>0.56620209059233495</v>
      </c>
      <c r="AG50" s="108">
        <v>0.95870206489675502</v>
      </c>
      <c r="AH50" s="178">
        <f>AF50*AG50*Demographics!$H50</f>
        <v>3235731.1644979622</v>
      </c>
      <c r="AI50" s="119" t="s">
        <v>313</v>
      </c>
      <c r="AJ50" s="76">
        <v>306</v>
      </c>
      <c r="AK50" s="108">
        <v>0.64210526315789496</v>
      </c>
      <c r="AL50" s="108">
        <v>0.90163934426229497</v>
      </c>
      <c r="AM50" s="119" t="s">
        <v>313</v>
      </c>
      <c r="AN50">
        <v>1234</v>
      </c>
      <c r="AO50" s="108">
        <v>0.80327868852458995</v>
      </c>
      <c r="AP50" s="108">
        <v>0.97959183673469397</v>
      </c>
      <c r="AQ50" s="119" t="s">
        <v>313</v>
      </c>
      <c r="AR50" t="s">
        <v>633</v>
      </c>
      <c r="AS50" s="108">
        <v>0.597849462365591</v>
      </c>
      <c r="AT50" s="108">
        <v>0.92086330935251803</v>
      </c>
      <c r="AU50" s="119" t="s">
        <v>313</v>
      </c>
      <c r="AV50">
        <v>442</v>
      </c>
      <c r="AW50" s="108">
        <v>0.52884615384615397</v>
      </c>
      <c r="AX50" s="131">
        <v>0.85454545454545405</v>
      </c>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row>
    <row r="51" spans="1:149" s="1" customFormat="1">
      <c r="A51" s="13">
        <v>50</v>
      </c>
      <c r="B51" s="14" t="s">
        <v>558</v>
      </c>
      <c r="C51" s="14" t="s">
        <v>559</v>
      </c>
      <c r="D51" s="132" t="s">
        <v>313</v>
      </c>
      <c r="E51" s="13">
        <v>0.14599999999999999</v>
      </c>
      <c r="F51" s="22">
        <f>E51*Demographics!H51</f>
        <v>85792.227999999988</v>
      </c>
      <c r="G51" s="380" t="s">
        <v>631</v>
      </c>
      <c r="H51" s="14">
        <v>0.17699999999999999</v>
      </c>
      <c r="I51" s="22">
        <f>H51*Demographics!$H51</f>
        <v>104008.386</v>
      </c>
      <c r="J51" s="111" t="s">
        <v>632</v>
      </c>
      <c r="K51" s="14">
        <v>0.71</v>
      </c>
      <c r="L51" s="118">
        <f>K51*Demographics!$H51</f>
        <v>417208.77999999997</v>
      </c>
      <c r="M51" s="380" t="s">
        <v>631</v>
      </c>
      <c r="N51" s="14">
        <v>1.6E-2</v>
      </c>
      <c r="O51" s="22">
        <f>N51*Demographics!$H51</f>
        <v>9401.8880000000008</v>
      </c>
      <c r="P51" s="119" t="s">
        <v>313</v>
      </c>
      <c r="Q51">
        <v>106</v>
      </c>
      <c r="R51" s="113">
        <v>0.76595744680851097</v>
      </c>
      <c r="S51" s="113">
        <v>1</v>
      </c>
      <c r="T51" s="132" t="s">
        <v>313</v>
      </c>
      <c r="U51" s="133">
        <v>1939</v>
      </c>
      <c r="V51" s="113">
        <v>0.70833333333333304</v>
      </c>
      <c r="W51" s="113">
        <v>1</v>
      </c>
      <c r="X51" s="22">
        <f>V51*W51*Demographics!$H51</f>
        <v>416229.41666666651</v>
      </c>
      <c r="Y51" s="132" t="s">
        <v>313</v>
      </c>
      <c r="Z51" s="133">
        <v>285</v>
      </c>
      <c r="AA51" s="113">
        <v>0.57894736842105299</v>
      </c>
      <c r="AB51" s="113">
        <v>0.91666666666666696</v>
      </c>
      <c r="AC51" s="22">
        <f>AA51*AB51*Demographics!$H51</f>
        <v>311849.90350877226</v>
      </c>
      <c r="AD51" s="132" t="s">
        <v>313</v>
      </c>
      <c r="AE51" s="133">
        <v>1656</v>
      </c>
      <c r="AF51" s="113">
        <v>0.48223350253807101</v>
      </c>
      <c r="AG51" s="113">
        <v>0.89622641509433998</v>
      </c>
      <c r="AH51" s="179">
        <f>AF51*AG51*Demographics!$H51</f>
        <v>253962.8603582033</v>
      </c>
      <c r="AI51" s="132" t="s">
        <v>313</v>
      </c>
      <c r="AJ51" s="166">
        <v>65</v>
      </c>
      <c r="AK51" s="113">
        <v>0.84375</v>
      </c>
      <c r="AL51" s="113">
        <v>1</v>
      </c>
      <c r="AM51" s="132" t="s">
        <v>313</v>
      </c>
      <c r="AN51" s="133">
        <v>414</v>
      </c>
      <c r="AO51" s="113">
        <v>0.8</v>
      </c>
      <c r="AP51" s="113">
        <v>1</v>
      </c>
      <c r="AQ51" s="132" t="s">
        <v>313</v>
      </c>
      <c r="AR51" t="s">
        <v>633</v>
      </c>
      <c r="AS51" s="113">
        <v>0.64900662251655605</v>
      </c>
      <c r="AT51" s="113">
        <v>0.93877551020408201</v>
      </c>
      <c r="AU51" s="132" t="s">
        <v>313</v>
      </c>
      <c r="AV51" s="133">
        <v>135</v>
      </c>
      <c r="AW51" s="113">
        <v>0.57142857142857095</v>
      </c>
      <c r="AX51" s="134">
        <v>0.89285714285714302</v>
      </c>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row>
    <row r="52" spans="1:149" s="26" customFormat="1">
      <c r="A52" s="4"/>
      <c r="B52" s="4"/>
      <c r="C52" s="4"/>
      <c r="D52" s="4"/>
      <c r="X52" s="4"/>
      <c r="AC52" s="4"/>
      <c r="AH52" s="4"/>
    </row>
    <row r="53" spans="1:149" s="26" customFormat="1">
      <c r="A53" s="4"/>
      <c r="B53" s="4"/>
      <c r="C53" s="4"/>
      <c r="D53" s="4"/>
      <c r="X53" s="4"/>
      <c r="AC53" s="4"/>
      <c r="AH53" s="4"/>
    </row>
    <row r="54" spans="1:149" s="26" customFormat="1">
      <c r="A54" s="4"/>
      <c r="B54" s="4"/>
      <c r="C54" s="4"/>
      <c r="D54" s="4"/>
      <c r="X54" s="4"/>
      <c r="AC54" s="4"/>
      <c r="AH54" s="4"/>
    </row>
    <row r="55" spans="1:149" s="26" customFormat="1">
      <c r="A55" s="4"/>
      <c r="B55" s="4"/>
      <c r="C55" s="4"/>
      <c r="D55" s="4"/>
      <c r="X55" s="4"/>
      <c r="AC55" s="4"/>
      <c r="AH55" s="4"/>
    </row>
    <row r="56" spans="1:149" s="26" customFormat="1">
      <c r="A56" s="4"/>
      <c r="B56" s="4"/>
      <c r="C56" s="4"/>
      <c r="D56" s="4"/>
      <c r="X56" s="4"/>
      <c r="AC56" s="4"/>
      <c r="AH56" s="4"/>
    </row>
    <row r="57" spans="1:149" s="26" customFormat="1">
      <c r="A57" s="4"/>
      <c r="B57" s="4"/>
      <c r="C57" s="4"/>
      <c r="D57" s="4"/>
      <c r="X57" s="4"/>
      <c r="AC57" s="4"/>
      <c r="AH57" s="4"/>
    </row>
    <row r="58" spans="1:149" s="26" customFormat="1">
      <c r="A58" s="4"/>
      <c r="B58" s="4"/>
      <c r="C58" s="4"/>
      <c r="D58" s="4"/>
      <c r="X58" s="4"/>
      <c r="AC58" s="4"/>
      <c r="AH58" s="4"/>
    </row>
    <row r="59" spans="1:149" s="26" customFormat="1">
      <c r="A59" s="4"/>
      <c r="B59" s="4"/>
      <c r="C59" s="4"/>
      <c r="D59" s="4"/>
      <c r="X59" s="4"/>
      <c r="AC59" s="4"/>
      <c r="AH59" s="4"/>
    </row>
    <row r="60" spans="1:149" s="26" customFormat="1">
      <c r="A60" s="4"/>
      <c r="B60" s="4"/>
      <c r="C60" s="4"/>
      <c r="D60" s="4"/>
      <c r="X60" s="4"/>
      <c r="AC60" s="4"/>
      <c r="AH60" s="4"/>
    </row>
    <row r="61" spans="1:149" s="26" customFormat="1">
      <c r="A61" s="4"/>
      <c r="B61" s="4"/>
      <c r="C61" s="4"/>
      <c r="D61" s="4"/>
      <c r="X61" s="4"/>
      <c r="AC61" s="4"/>
      <c r="AH61" s="4"/>
    </row>
    <row r="62" spans="1:149" s="26" customFormat="1">
      <c r="A62" s="4"/>
      <c r="B62" s="4"/>
      <c r="C62" s="4"/>
      <c r="D62" s="4"/>
      <c r="X62" s="4"/>
      <c r="AC62" s="4"/>
      <c r="AH62" s="4"/>
    </row>
    <row r="63" spans="1:149" s="26" customFormat="1">
      <c r="A63" s="4"/>
      <c r="B63" s="4"/>
      <c r="C63" s="4"/>
      <c r="D63" s="4"/>
      <c r="X63" s="4"/>
      <c r="AC63" s="4"/>
      <c r="AH63" s="4"/>
    </row>
    <row r="64" spans="1:149" s="26" customFormat="1">
      <c r="A64" s="4"/>
      <c r="B64" s="4"/>
      <c r="C64" s="4"/>
      <c r="D64" s="4"/>
      <c r="X64" s="4"/>
      <c r="AC64" s="4"/>
      <c r="AH64" s="4"/>
    </row>
    <row r="65" spans="1:34" s="26" customFormat="1">
      <c r="A65" s="4"/>
      <c r="B65" s="4"/>
      <c r="C65" s="4"/>
      <c r="D65" s="4"/>
      <c r="X65" s="4"/>
      <c r="AC65" s="4"/>
      <c r="AH65" s="4"/>
    </row>
    <row r="66" spans="1:34" s="26" customFormat="1">
      <c r="A66" s="4"/>
      <c r="B66" s="4"/>
      <c r="C66" s="4"/>
      <c r="D66" s="4"/>
      <c r="X66" s="4"/>
      <c r="AC66" s="4"/>
      <c r="AH66" s="4"/>
    </row>
    <row r="67" spans="1:34" s="26" customFormat="1">
      <c r="A67" s="4"/>
      <c r="B67" s="4"/>
      <c r="C67" s="4"/>
      <c r="D67" s="4"/>
      <c r="X67" s="4"/>
      <c r="AC67" s="4"/>
      <c r="AH67" s="4"/>
    </row>
    <row r="68" spans="1:34" s="26" customFormat="1">
      <c r="A68" s="4"/>
      <c r="B68" s="4"/>
      <c r="C68" s="4"/>
      <c r="D68" s="4"/>
      <c r="X68" s="4"/>
      <c r="AC68" s="4"/>
      <c r="AH68" s="4"/>
    </row>
    <row r="69" spans="1:34" s="26" customFormat="1">
      <c r="A69" s="4"/>
      <c r="B69" s="4"/>
      <c r="C69" s="4"/>
      <c r="D69" s="4"/>
      <c r="X69" s="4"/>
      <c r="AC69" s="4"/>
      <c r="AH69" s="4"/>
    </row>
    <row r="70" spans="1:34" s="26" customFormat="1">
      <c r="A70" s="4"/>
      <c r="B70" s="4"/>
      <c r="C70" s="4"/>
      <c r="D70" s="4"/>
      <c r="X70" s="4"/>
      <c r="AC70" s="4"/>
      <c r="AH70" s="4"/>
    </row>
    <row r="71" spans="1:34" s="26" customFormat="1">
      <c r="A71" s="4"/>
      <c r="B71" s="4"/>
      <c r="C71" s="4"/>
      <c r="D71" s="4"/>
      <c r="X71" s="4"/>
      <c r="AC71" s="4"/>
      <c r="AH71" s="4"/>
    </row>
    <row r="72" spans="1:34" s="26" customFormat="1">
      <c r="A72" s="4"/>
      <c r="B72" s="4"/>
      <c r="C72" s="4"/>
      <c r="D72" s="4"/>
      <c r="X72" s="4"/>
      <c r="AC72" s="4"/>
      <c r="AH72" s="4"/>
    </row>
    <row r="73" spans="1:34" s="26" customFormat="1">
      <c r="A73" s="4"/>
      <c r="B73" s="4"/>
      <c r="C73" s="4"/>
      <c r="D73" s="4"/>
      <c r="X73" s="4"/>
      <c r="AC73" s="4"/>
      <c r="AH73" s="4"/>
    </row>
    <row r="74" spans="1:34" s="26" customFormat="1">
      <c r="A74" s="4"/>
      <c r="B74" s="4"/>
      <c r="C74" s="4"/>
      <c r="D74" s="4"/>
      <c r="X74" s="4"/>
      <c r="AC74" s="4"/>
      <c r="AH74" s="4"/>
    </row>
    <row r="75" spans="1:34" s="26" customFormat="1">
      <c r="A75" s="4"/>
      <c r="B75" s="4"/>
      <c r="C75" s="4"/>
      <c r="D75" s="4"/>
      <c r="X75" s="4"/>
      <c r="AC75" s="4"/>
      <c r="AH75" s="4"/>
    </row>
    <row r="76" spans="1:34" s="26" customFormat="1">
      <c r="A76" s="4"/>
      <c r="B76" s="4"/>
      <c r="C76" s="4"/>
      <c r="D76" s="4"/>
      <c r="X76" s="4"/>
      <c r="AC76" s="4"/>
      <c r="AH76" s="4"/>
    </row>
    <row r="77" spans="1:34" s="26" customFormat="1">
      <c r="A77" s="4"/>
      <c r="B77" s="4"/>
      <c r="C77" s="4"/>
      <c r="D77" s="4"/>
      <c r="X77" s="4"/>
      <c r="AC77" s="4"/>
      <c r="AH77" s="4"/>
    </row>
    <row r="78" spans="1:34" s="26" customFormat="1">
      <c r="A78" s="4"/>
      <c r="B78" s="4"/>
      <c r="C78" s="4"/>
      <c r="D78" s="4"/>
      <c r="X78" s="4"/>
      <c r="AC78" s="4"/>
      <c r="AH78" s="4"/>
    </row>
    <row r="79" spans="1:34" s="26" customFormat="1">
      <c r="A79" s="4"/>
      <c r="B79" s="4"/>
      <c r="C79" s="4"/>
      <c r="D79" s="4"/>
      <c r="X79" s="4"/>
      <c r="AC79" s="4"/>
      <c r="AH79" s="4"/>
    </row>
    <row r="80" spans="1:34" s="26" customFormat="1">
      <c r="A80" s="4"/>
      <c r="B80" s="4"/>
      <c r="C80" s="4"/>
      <c r="D80" s="4"/>
      <c r="X80" s="4"/>
      <c r="AC80" s="4"/>
      <c r="AH80" s="4"/>
    </row>
    <row r="81" spans="1:34" s="26" customFormat="1">
      <c r="A81" s="4"/>
      <c r="B81" s="4"/>
      <c r="C81" s="4"/>
      <c r="D81" s="4"/>
      <c r="X81" s="4"/>
      <c r="AC81" s="4"/>
      <c r="AH81" s="4"/>
    </row>
    <row r="82" spans="1:34" s="26" customFormat="1">
      <c r="A82" s="4"/>
      <c r="B82" s="4"/>
      <c r="C82" s="4"/>
      <c r="D82" s="4"/>
      <c r="X82" s="4"/>
      <c r="AC82" s="4"/>
      <c r="AH82" s="4"/>
    </row>
    <row r="83" spans="1:34" s="26" customFormat="1">
      <c r="A83" s="4"/>
      <c r="B83" s="4"/>
      <c r="C83" s="4"/>
      <c r="D83" s="4"/>
      <c r="X83" s="4"/>
      <c r="AC83" s="4"/>
      <c r="AH83" s="4"/>
    </row>
    <row r="84" spans="1:34" s="26" customFormat="1">
      <c r="A84" s="4"/>
      <c r="B84" s="4"/>
      <c r="C84" s="4"/>
      <c r="D84" s="4"/>
      <c r="X84" s="4"/>
      <c r="AC84" s="4"/>
      <c r="AH84" s="4"/>
    </row>
    <row r="85" spans="1:34" s="26" customFormat="1">
      <c r="A85" s="4"/>
      <c r="B85" s="4"/>
      <c r="C85" s="4"/>
      <c r="D85" s="4"/>
      <c r="X85" s="4"/>
      <c r="AC85" s="4"/>
      <c r="AH85" s="4"/>
    </row>
    <row r="86" spans="1:34" s="26" customFormat="1">
      <c r="A86" s="4"/>
      <c r="B86" s="4"/>
      <c r="C86" s="4"/>
      <c r="D86" s="4"/>
      <c r="X86" s="4"/>
      <c r="AC86" s="4"/>
      <c r="AH86" s="4"/>
    </row>
    <row r="87" spans="1:34" s="26" customFormat="1">
      <c r="A87" s="4"/>
      <c r="B87" s="4"/>
      <c r="C87" s="4"/>
      <c r="D87" s="4"/>
      <c r="X87" s="4"/>
      <c r="AC87" s="4"/>
      <c r="AH87" s="4"/>
    </row>
    <row r="88" spans="1:34" s="26" customFormat="1">
      <c r="A88" s="4"/>
      <c r="B88" s="4"/>
      <c r="C88" s="4"/>
      <c r="D88" s="4"/>
      <c r="X88" s="4"/>
      <c r="AC88" s="4"/>
      <c r="AH88" s="4"/>
    </row>
    <row r="89" spans="1:34" s="26" customFormat="1">
      <c r="A89" s="4"/>
      <c r="B89" s="4"/>
      <c r="C89" s="4"/>
      <c r="D89" s="4"/>
      <c r="X89" s="4"/>
      <c r="AC89" s="4"/>
      <c r="AH89" s="4"/>
    </row>
    <row r="90" spans="1:34" s="26" customFormat="1">
      <c r="A90" s="4"/>
      <c r="B90" s="4"/>
      <c r="C90" s="4"/>
      <c r="D90" s="4"/>
      <c r="X90" s="4"/>
      <c r="AC90" s="4"/>
      <c r="AH90" s="4"/>
    </row>
    <row r="91" spans="1:34" s="26" customFormat="1">
      <c r="A91" s="4"/>
      <c r="B91" s="4"/>
      <c r="C91" s="4"/>
      <c r="D91" s="4"/>
      <c r="X91" s="4"/>
      <c r="AC91" s="4"/>
      <c r="AH91" s="4"/>
    </row>
    <row r="92" spans="1:34" s="26" customFormat="1">
      <c r="A92" s="4"/>
      <c r="B92" s="4"/>
      <c r="C92" s="4"/>
      <c r="D92" s="4"/>
      <c r="X92" s="4"/>
      <c r="AC92" s="4"/>
      <c r="AH92" s="4"/>
    </row>
    <row r="93" spans="1:34" s="26" customFormat="1">
      <c r="A93" s="4"/>
      <c r="B93" s="4"/>
      <c r="C93" s="4"/>
      <c r="D93" s="4"/>
      <c r="X93" s="4"/>
      <c r="AC93" s="4"/>
      <c r="AH93" s="4"/>
    </row>
    <row r="94" spans="1:34" s="26" customFormat="1">
      <c r="A94" s="4"/>
      <c r="B94" s="4"/>
      <c r="C94" s="4"/>
      <c r="D94" s="4"/>
      <c r="X94" s="4"/>
      <c r="AC94" s="4"/>
      <c r="AH94" s="4"/>
    </row>
    <row r="95" spans="1:34" s="26" customFormat="1">
      <c r="A95" s="4"/>
      <c r="B95" s="4"/>
      <c r="C95" s="4"/>
      <c r="D95" s="4"/>
      <c r="X95" s="4"/>
      <c r="AC95" s="4"/>
      <c r="AH95" s="4"/>
    </row>
    <row r="96" spans="1:34" s="26" customFormat="1">
      <c r="A96" s="4"/>
      <c r="B96" s="4"/>
      <c r="C96" s="4"/>
      <c r="D96" s="4"/>
      <c r="X96" s="4"/>
      <c r="AC96" s="4"/>
      <c r="AH96" s="4"/>
    </row>
    <row r="97" spans="1:34" s="26" customFormat="1">
      <c r="A97" s="4"/>
      <c r="B97" s="4"/>
      <c r="C97" s="4"/>
      <c r="D97" s="4"/>
      <c r="X97" s="4"/>
      <c r="AC97" s="4"/>
      <c r="AH97" s="4"/>
    </row>
    <row r="98" spans="1:34" s="26" customFormat="1">
      <c r="A98" s="4"/>
      <c r="B98" s="4"/>
      <c r="C98" s="4"/>
      <c r="D98" s="4"/>
      <c r="X98" s="4"/>
      <c r="AC98" s="4"/>
      <c r="AH98" s="4"/>
    </row>
    <row r="99" spans="1:34" s="26" customFormat="1">
      <c r="A99" s="4"/>
      <c r="B99" s="4"/>
      <c r="C99" s="4"/>
      <c r="D99" s="4"/>
      <c r="X99" s="4"/>
      <c r="AC99" s="4"/>
      <c r="AH99" s="4"/>
    </row>
    <row r="100" spans="1:34" s="26" customFormat="1">
      <c r="A100" s="4"/>
      <c r="B100" s="4"/>
      <c r="C100" s="4"/>
      <c r="D100" s="4"/>
      <c r="X100" s="4"/>
      <c r="AC100" s="4"/>
      <c r="AH100" s="4"/>
    </row>
    <row r="101" spans="1:34" s="26" customFormat="1">
      <c r="A101" s="4"/>
      <c r="B101" s="4"/>
      <c r="C101" s="4"/>
      <c r="D101" s="4"/>
      <c r="X101" s="4"/>
      <c r="AC101" s="4"/>
      <c r="AH101" s="4"/>
    </row>
    <row r="102" spans="1:34" s="26" customFormat="1">
      <c r="A102" s="4"/>
      <c r="B102" s="4"/>
      <c r="C102" s="4"/>
      <c r="D102" s="4"/>
      <c r="X102" s="4"/>
      <c r="AC102" s="4"/>
      <c r="AH102" s="4"/>
    </row>
    <row r="103" spans="1:34" s="26" customFormat="1">
      <c r="A103" s="4"/>
      <c r="B103" s="4"/>
      <c r="C103" s="4"/>
      <c r="D103" s="4"/>
      <c r="X103" s="4"/>
      <c r="AC103" s="4"/>
      <c r="AH103" s="4"/>
    </row>
    <row r="104" spans="1:34" s="26" customFormat="1">
      <c r="A104" s="4"/>
      <c r="B104" s="4"/>
      <c r="C104" s="4"/>
      <c r="D104" s="4"/>
      <c r="X104" s="4"/>
      <c r="AC104" s="4"/>
      <c r="AH104" s="4"/>
    </row>
    <row r="105" spans="1:34" s="26" customFormat="1">
      <c r="A105" s="4"/>
      <c r="B105" s="4"/>
      <c r="C105" s="4"/>
      <c r="D105" s="4"/>
      <c r="X105" s="4"/>
      <c r="AC105" s="4"/>
      <c r="AH105" s="4"/>
    </row>
    <row r="106" spans="1:34" s="26" customFormat="1">
      <c r="A106" s="4"/>
      <c r="B106" s="4"/>
      <c r="C106" s="4"/>
      <c r="D106" s="4"/>
      <c r="X106" s="4"/>
      <c r="AC106" s="4"/>
      <c r="AH106" s="4"/>
    </row>
    <row r="107" spans="1:34" s="26" customFormat="1">
      <c r="A107" s="4"/>
      <c r="B107" s="4"/>
      <c r="C107" s="4"/>
      <c r="D107" s="4"/>
      <c r="X107" s="4"/>
      <c r="AC107" s="4"/>
      <c r="AH107" s="4"/>
    </row>
    <row r="108" spans="1:34" s="26" customFormat="1">
      <c r="A108" s="4"/>
      <c r="B108" s="4"/>
      <c r="C108" s="4"/>
      <c r="D108" s="4"/>
      <c r="X108" s="4"/>
      <c r="AC108" s="4"/>
      <c r="AH108" s="4"/>
    </row>
    <row r="109" spans="1:34" s="26" customFormat="1">
      <c r="A109" s="4"/>
      <c r="B109" s="4"/>
      <c r="C109" s="4"/>
      <c r="D109" s="4"/>
      <c r="X109" s="4"/>
      <c r="AC109" s="4"/>
      <c r="AH109" s="4"/>
    </row>
    <row r="110" spans="1:34" s="26" customFormat="1">
      <c r="A110" s="4"/>
      <c r="B110" s="4"/>
      <c r="C110" s="4"/>
      <c r="D110" s="4"/>
      <c r="X110" s="4"/>
      <c r="AC110" s="4"/>
      <c r="AH110" s="4"/>
    </row>
    <row r="111" spans="1:34" s="26" customFormat="1">
      <c r="A111" s="4"/>
      <c r="B111" s="4"/>
      <c r="C111" s="4"/>
      <c r="D111" s="4"/>
      <c r="X111" s="4"/>
      <c r="AC111" s="4"/>
      <c r="AH111" s="4"/>
    </row>
    <row r="112" spans="1:34" s="26" customFormat="1">
      <c r="A112" s="4"/>
      <c r="B112" s="4"/>
      <c r="C112" s="4"/>
      <c r="D112" s="4"/>
      <c r="X112" s="4"/>
      <c r="AC112" s="4"/>
      <c r="AH112" s="4"/>
    </row>
    <row r="113" spans="1:34" s="26" customFormat="1">
      <c r="A113" s="4"/>
      <c r="B113" s="4"/>
      <c r="C113" s="4"/>
      <c r="D113" s="4"/>
      <c r="X113" s="4"/>
      <c r="AC113" s="4"/>
      <c r="AH113" s="4"/>
    </row>
    <row r="114" spans="1:34" s="26" customFormat="1">
      <c r="A114" s="4"/>
      <c r="B114" s="4"/>
      <c r="C114" s="4"/>
      <c r="D114" s="4"/>
      <c r="X114" s="4"/>
      <c r="AC114" s="4"/>
      <c r="AH114" s="4"/>
    </row>
    <row r="115" spans="1:34" s="26" customFormat="1">
      <c r="A115" s="4"/>
      <c r="B115" s="4"/>
      <c r="C115" s="4"/>
      <c r="D115" s="4"/>
      <c r="X115" s="4"/>
      <c r="AC115" s="4"/>
      <c r="AH115" s="4"/>
    </row>
    <row r="116" spans="1:34" s="26" customFormat="1">
      <c r="A116" s="4"/>
      <c r="B116" s="4"/>
      <c r="C116" s="4"/>
      <c r="D116" s="4"/>
      <c r="X116" s="4"/>
      <c r="AC116" s="4"/>
      <c r="AH116" s="4"/>
    </row>
    <row r="117" spans="1:34" s="26" customFormat="1">
      <c r="A117" s="4"/>
      <c r="B117" s="4"/>
      <c r="C117" s="4"/>
      <c r="D117" s="4"/>
      <c r="X117" s="4"/>
      <c r="AC117" s="4"/>
      <c r="AH117" s="4"/>
    </row>
    <row r="118" spans="1:34" s="26" customFormat="1">
      <c r="A118" s="4"/>
      <c r="B118" s="4"/>
      <c r="C118" s="4"/>
      <c r="D118" s="4"/>
      <c r="X118" s="4"/>
      <c r="AC118" s="4"/>
      <c r="AH118" s="4"/>
    </row>
    <row r="119" spans="1:34" s="26" customFormat="1">
      <c r="A119" s="4"/>
      <c r="B119" s="4"/>
      <c r="C119" s="4"/>
      <c r="D119" s="4"/>
      <c r="X119" s="4"/>
      <c r="AC119" s="4"/>
      <c r="AH119" s="4"/>
    </row>
    <row r="120" spans="1:34" s="26" customFormat="1">
      <c r="A120" s="4"/>
      <c r="B120" s="4"/>
      <c r="C120" s="4"/>
      <c r="D120" s="4"/>
      <c r="X120" s="4"/>
      <c r="AC120" s="4"/>
      <c r="AH120" s="4"/>
    </row>
    <row r="121" spans="1:34" s="26" customFormat="1">
      <c r="A121" s="4"/>
      <c r="B121" s="4"/>
      <c r="C121" s="4"/>
      <c r="D121" s="4"/>
      <c r="X121" s="4"/>
      <c r="AC121" s="4"/>
      <c r="AH121" s="4"/>
    </row>
    <row r="122" spans="1:34" s="26" customFormat="1">
      <c r="A122" s="4"/>
      <c r="B122" s="4"/>
      <c r="C122" s="4"/>
      <c r="D122" s="4"/>
      <c r="X122" s="4"/>
      <c r="AC122" s="4"/>
      <c r="AH122" s="4"/>
    </row>
    <row r="123" spans="1:34" s="26" customFormat="1">
      <c r="A123" s="4"/>
      <c r="B123" s="4"/>
      <c r="C123" s="4"/>
      <c r="D123" s="4"/>
      <c r="X123" s="4"/>
      <c r="AC123" s="4"/>
      <c r="AH123" s="4"/>
    </row>
    <row r="124" spans="1:34" s="26" customFormat="1">
      <c r="A124" s="4"/>
      <c r="B124" s="4"/>
      <c r="C124" s="4"/>
      <c r="D124" s="4"/>
      <c r="X124" s="4"/>
      <c r="AC124" s="4"/>
      <c r="AH124" s="4"/>
    </row>
    <row r="125" spans="1:34" s="26" customFormat="1">
      <c r="A125" s="4"/>
      <c r="B125" s="4"/>
      <c r="C125" s="4"/>
      <c r="D125" s="4"/>
      <c r="X125" s="4"/>
      <c r="AC125" s="4"/>
      <c r="AH125" s="4"/>
    </row>
    <row r="126" spans="1:34" s="26" customFormat="1">
      <c r="A126" s="4"/>
      <c r="B126" s="4"/>
      <c r="C126" s="4"/>
      <c r="D126" s="4"/>
      <c r="X126" s="4"/>
      <c r="AC126" s="4"/>
      <c r="AH126" s="4"/>
    </row>
    <row r="127" spans="1:34" s="26" customFormat="1">
      <c r="A127" s="4"/>
      <c r="B127" s="4"/>
      <c r="C127" s="4"/>
      <c r="D127" s="4"/>
      <c r="X127" s="4"/>
      <c r="AC127" s="4"/>
      <c r="AH127" s="4"/>
    </row>
    <row r="128" spans="1:34" s="26" customFormat="1">
      <c r="A128" s="4"/>
      <c r="B128" s="4"/>
      <c r="C128" s="4"/>
      <c r="D128" s="4"/>
      <c r="X128" s="4"/>
      <c r="AC128" s="4"/>
      <c r="AH128" s="4"/>
    </row>
    <row r="129" spans="1:34" s="26" customFormat="1">
      <c r="A129" s="4"/>
      <c r="B129" s="4"/>
      <c r="C129" s="4"/>
      <c r="D129" s="4"/>
      <c r="X129" s="4"/>
      <c r="AC129" s="4"/>
      <c r="AH129" s="4"/>
    </row>
    <row r="130" spans="1:34" s="26" customFormat="1">
      <c r="A130" s="4"/>
      <c r="B130" s="4"/>
      <c r="C130" s="4"/>
      <c r="D130" s="4"/>
      <c r="X130" s="4"/>
      <c r="AC130" s="4"/>
      <c r="AH130" s="4"/>
    </row>
    <row r="131" spans="1:34" s="26" customFormat="1">
      <c r="A131" s="4"/>
      <c r="B131" s="4"/>
      <c r="C131" s="4"/>
      <c r="D131" s="4"/>
      <c r="X131" s="4"/>
      <c r="AC131" s="4"/>
      <c r="AH131" s="4"/>
    </row>
    <row r="132" spans="1:34" s="26" customFormat="1">
      <c r="A132" s="4"/>
      <c r="B132" s="4"/>
      <c r="C132" s="4"/>
      <c r="D132" s="4"/>
      <c r="X132" s="4"/>
      <c r="AC132" s="4"/>
      <c r="AH132" s="4"/>
    </row>
    <row r="133" spans="1:34" s="26" customFormat="1">
      <c r="A133" s="4"/>
      <c r="B133" s="4"/>
      <c r="C133" s="4"/>
      <c r="D133" s="4"/>
      <c r="X133" s="4"/>
      <c r="AC133" s="4"/>
      <c r="AH133" s="4"/>
    </row>
    <row r="134" spans="1:34" s="26" customFormat="1">
      <c r="A134" s="4"/>
      <c r="B134" s="4"/>
      <c r="C134" s="4"/>
      <c r="D134" s="4"/>
      <c r="X134" s="4"/>
      <c r="AC134" s="4"/>
      <c r="AH134" s="4"/>
    </row>
    <row r="135" spans="1:34" s="26" customFormat="1">
      <c r="A135" s="4"/>
      <c r="B135" s="4"/>
      <c r="C135" s="4"/>
      <c r="D135" s="4"/>
      <c r="X135" s="4"/>
      <c r="AC135" s="4"/>
      <c r="AH135" s="4"/>
    </row>
    <row r="136" spans="1:34" s="26" customFormat="1">
      <c r="A136" s="4"/>
      <c r="B136" s="4"/>
      <c r="C136" s="4"/>
      <c r="D136" s="4"/>
      <c r="X136" s="4"/>
      <c r="AC136" s="4"/>
      <c r="AH136" s="4"/>
    </row>
    <row r="137" spans="1:34" s="26" customFormat="1">
      <c r="A137" s="4"/>
      <c r="B137" s="4"/>
      <c r="C137" s="4"/>
      <c r="D137" s="4"/>
      <c r="X137" s="4"/>
      <c r="AC137" s="4"/>
      <c r="AH137" s="4"/>
    </row>
    <row r="138" spans="1:34" s="26" customFormat="1">
      <c r="A138" s="4"/>
      <c r="B138" s="4"/>
      <c r="C138" s="4"/>
      <c r="D138" s="4"/>
      <c r="X138" s="4"/>
      <c r="AC138" s="4"/>
      <c r="AH138" s="4"/>
    </row>
    <row r="139" spans="1:34" s="26" customFormat="1">
      <c r="A139" s="4"/>
      <c r="B139" s="4"/>
      <c r="C139" s="4"/>
      <c r="D139" s="4"/>
      <c r="X139" s="4"/>
      <c r="AC139" s="4"/>
      <c r="AH139" s="4"/>
    </row>
    <row r="140" spans="1:34" s="26" customFormat="1">
      <c r="A140" s="4"/>
      <c r="B140" s="4"/>
      <c r="C140" s="4"/>
      <c r="D140" s="4"/>
      <c r="X140" s="4"/>
      <c r="AC140" s="4"/>
      <c r="AH140" s="4"/>
    </row>
    <row r="141" spans="1:34" s="26" customFormat="1">
      <c r="A141" s="4"/>
      <c r="B141" s="4"/>
      <c r="C141" s="4"/>
      <c r="D141" s="4"/>
      <c r="X141" s="4"/>
      <c r="AC141" s="4"/>
      <c r="AH141" s="4"/>
    </row>
    <row r="142" spans="1:34" s="26" customFormat="1">
      <c r="A142" s="4"/>
      <c r="B142" s="4"/>
      <c r="C142" s="4"/>
      <c r="D142" s="4"/>
      <c r="X142" s="4"/>
      <c r="AC142" s="4"/>
      <c r="AH142" s="4"/>
    </row>
    <row r="143" spans="1:34" s="26" customFormat="1">
      <c r="A143" s="4"/>
      <c r="B143" s="4"/>
      <c r="C143" s="4"/>
      <c r="D143" s="4"/>
      <c r="X143" s="4"/>
      <c r="AC143" s="4"/>
      <c r="AH143" s="4"/>
    </row>
    <row r="144" spans="1:34" s="26" customFormat="1">
      <c r="A144" s="4"/>
      <c r="B144" s="4"/>
      <c r="C144" s="4"/>
      <c r="D144" s="4"/>
      <c r="X144" s="4"/>
      <c r="AC144" s="4"/>
      <c r="AH144" s="4"/>
    </row>
    <row r="145" spans="1:34" s="26" customFormat="1">
      <c r="A145" s="4"/>
      <c r="B145" s="4"/>
      <c r="C145" s="4"/>
      <c r="D145" s="4"/>
      <c r="X145" s="4"/>
      <c r="AC145" s="4"/>
      <c r="AH145" s="4"/>
    </row>
    <row r="146" spans="1:34" s="26" customFormat="1">
      <c r="A146" s="4"/>
      <c r="B146" s="4"/>
      <c r="C146" s="4"/>
      <c r="D146" s="4"/>
      <c r="X146" s="4"/>
      <c r="AC146" s="4"/>
      <c r="AH146" s="4"/>
    </row>
    <row r="147" spans="1:34" s="26" customFormat="1">
      <c r="A147" s="4"/>
      <c r="B147" s="4"/>
      <c r="C147" s="4"/>
      <c r="D147" s="4"/>
      <c r="X147" s="4"/>
      <c r="AC147" s="4"/>
      <c r="AH147" s="4"/>
    </row>
    <row r="148" spans="1:34" s="26" customFormat="1">
      <c r="A148" s="4"/>
      <c r="B148" s="4"/>
      <c r="C148" s="4"/>
      <c r="D148" s="4"/>
      <c r="X148" s="4"/>
      <c r="AC148" s="4"/>
      <c r="AH148" s="4"/>
    </row>
    <row r="149" spans="1:34" s="26" customFormat="1">
      <c r="A149" s="4"/>
      <c r="B149" s="4"/>
      <c r="C149" s="4"/>
      <c r="D149" s="4"/>
      <c r="X149" s="4"/>
      <c r="AC149" s="4"/>
      <c r="AH149" s="4"/>
    </row>
    <row r="150" spans="1:34" s="26" customFormat="1">
      <c r="A150" s="4"/>
      <c r="B150" s="4"/>
      <c r="C150" s="4"/>
      <c r="D150" s="4"/>
      <c r="X150" s="4"/>
      <c r="AC150" s="4"/>
      <c r="AH150" s="4"/>
    </row>
    <row r="151" spans="1:34" s="26" customFormat="1">
      <c r="A151" s="4"/>
      <c r="B151" s="4"/>
      <c r="C151" s="4"/>
      <c r="D151" s="4"/>
      <c r="X151" s="4"/>
      <c r="AC151" s="4"/>
      <c r="AH151" s="4"/>
    </row>
    <row r="152" spans="1:34" s="26" customFormat="1">
      <c r="A152" s="4"/>
      <c r="B152" s="4"/>
      <c r="C152" s="4"/>
      <c r="D152" s="4"/>
      <c r="X152" s="4"/>
      <c r="AC152" s="4"/>
      <c r="AH152" s="4"/>
    </row>
    <row r="153" spans="1:34" s="26" customFormat="1">
      <c r="A153" s="4"/>
      <c r="B153" s="4"/>
      <c r="C153" s="4"/>
      <c r="D153" s="4"/>
      <c r="X153" s="4"/>
      <c r="AC153" s="4"/>
      <c r="AH153" s="4"/>
    </row>
    <row r="154" spans="1:34" s="26" customFormat="1">
      <c r="A154" s="4"/>
      <c r="B154" s="4"/>
      <c r="C154" s="4"/>
      <c r="D154" s="4"/>
      <c r="X154" s="4"/>
      <c r="AC154" s="4"/>
      <c r="AH154" s="4"/>
    </row>
    <row r="155" spans="1:34" s="26" customFormat="1">
      <c r="A155" s="4"/>
      <c r="B155" s="4"/>
      <c r="C155" s="4"/>
      <c r="D155" s="4"/>
      <c r="X155" s="4"/>
      <c r="AC155" s="4"/>
      <c r="AH155" s="4"/>
    </row>
    <row r="156" spans="1:34" s="26" customFormat="1">
      <c r="A156" s="4"/>
      <c r="B156" s="4"/>
      <c r="C156" s="4"/>
      <c r="D156" s="4"/>
      <c r="X156" s="4"/>
      <c r="AC156" s="4"/>
      <c r="AH156" s="4"/>
    </row>
    <row r="157" spans="1:34" s="26" customFormat="1">
      <c r="A157" s="4"/>
      <c r="B157" s="4"/>
      <c r="C157" s="4"/>
      <c r="D157" s="4"/>
      <c r="X157" s="4"/>
      <c r="AC157" s="4"/>
      <c r="AH157" s="4"/>
    </row>
    <row r="158" spans="1:34" s="26" customFormat="1">
      <c r="A158" s="4"/>
      <c r="B158" s="4"/>
      <c r="C158" s="4"/>
      <c r="D158" s="4"/>
      <c r="X158" s="4"/>
      <c r="AC158" s="4"/>
      <c r="AH158" s="4"/>
    </row>
    <row r="159" spans="1:34" s="26" customFormat="1">
      <c r="A159" s="4"/>
      <c r="B159" s="4"/>
      <c r="C159" s="4"/>
      <c r="D159" s="4"/>
      <c r="X159" s="4"/>
      <c r="AC159" s="4"/>
      <c r="AH159" s="4"/>
    </row>
    <row r="160" spans="1:34" s="26" customFormat="1">
      <c r="A160" s="4"/>
      <c r="B160" s="4"/>
      <c r="C160" s="4"/>
      <c r="D160" s="4"/>
      <c r="X160" s="4"/>
      <c r="AC160" s="4"/>
      <c r="AH160" s="4"/>
    </row>
    <row r="161" spans="1:34" s="26" customFormat="1">
      <c r="A161" s="4"/>
      <c r="B161" s="4"/>
      <c r="C161" s="4"/>
      <c r="D161" s="4"/>
      <c r="X161" s="4"/>
      <c r="AC161" s="4"/>
      <c r="AH161" s="4"/>
    </row>
    <row r="162" spans="1:34" s="26" customFormat="1">
      <c r="A162" s="4"/>
      <c r="B162" s="4"/>
      <c r="C162" s="4"/>
      <c r="D162" s="4"/>
      <c r="X162" s="4"/>
      <c r="AC162" s="4"/>
      <c r="AH162" s="4"/>
    </row>
    <row r="163" spans="1:34" s="26" customFormat="1">
      <c r="A163" s="4"/>
      <c r="B163" s="4"/>
      <c r="C163" s="4"/>
      <c r="D163" s="4"/>
      <c r="X163" s="4"/>
      <c r="AC163" s="4"/>
      <c r="AH163" s="4"/>
    </row>
    <row r="164" spans="1:34" s="26" customFormat="1">
      <c r="A164" s="4"/>
      <c r="B164" s="4"/>
      <c r="C164" s="4"/>
      <c r="D164" s="4"/>
      <c r="X164" s="4"/>
      <c r="AC164" s="4"/>
      <c r="AH164" s="4"/>
    </row>
    <row r="165" spans="1:34" s="26" customFormat="1">
      <c r="A165" s="4"/>
      <c r="B165" s="4"/>
      <c r="C165" s="4"/>
      <c r="D165" s="4"/>
      <c r="X165" s="4"/>
      <c r="AC165" s="4"/>
      <c r="AH165" s="4"/>
    </row>
    <row r="166" spans="1:34" s="26" customFormat="1">
      <c r="A166" s="4"/>
      <c r="B166" s="4"/>
      <c r="C166" s="4"/>
      <c r="D166" s="4"/>
      <c r="X166" s="4"/>
      <c r="AC166" s="4"/>
      <c r="AH166" s="4"/>
    </row>
    <row r="167" spans="1:34" s="26" customFormat="1">
      <c r="A167" s="4"/>
      <c r="B167" s="4"/>
      <c r="C167" s="4"/>
      <c r="D167" s="4"/>
      <c r="X167" s="4"/>
      <c r="AC167" s="4"/>
      <c r="AH167" s="4"/>
    </row>
    <row r="168" spans="1:34" s="26" customFormat="1">
      <c r="A168" s="4"/>
      <c r="B168" s="4"/>
      <c r="C168" s="4"/>
      <c r="D168" s="4"/>
      <c r="X168" s="4"/>
      <c r="AC168" s="4"/>
      <c r="AH168" s="4"/>
    </row>
    <row r="169" spans="1:34" s="26" customFormat="1">
      <c r="A169" s="4"/>
      <c r="B169" s="4"/>
      <c r="C169" s="4"/>
      <c r="D169" s="4"/>
      <c r="X169" s="4"/>
      <c r="AC169" s="4"/>
      <c r="AH169" s="4"/>
    </row>
    <row r="170" spans="1:34" s="26" customFormat="1">
      <c r="A170" s="4"/>
      <c r="B170" s="4"/>
      <c r="C170" s="4"/>
      <c r="D170" s="4"/>
      <c r="X170" s="4"/>
      <c r="AC170" s="4"/>
      <c r="AH170" s="4"/>
    </row>
    <row r="171" spans="1:34" s="26" customFormat="1">
      <c r="A171" s="4"/>
      <c r="B171" s="4"/>
      <c r="C171" s="4"/>
      <c r="D171" s="4"/>
      <c r="X171" s="4"/>
      <c r="AC171" s="4"/>
      <c r="AH171" s="4"/>
    </row>
    <row r="172" spans="1:34" s="26" customFormat="1">
      <c r="A172" s="4"/>
      <c r="B172" s="4"/>
      <c r="C172" s="4"/>
      <c r="D172" s="4"/>
      <c r="X172" s="4"/>
      <c r="AC172" s="4"/>
      <c r="AH172" s="4"/>
    </row>
    <row r="173" spans="1:34" s="26" customFormat="1">
      <c r="A173" s="4"/>
      <c r="B173" s="4"/>
      <c r="C173" s="4"/>
      <c r="D173" s="4"/>
      <c r="X173" s="4"/>
      <c r="AC173" s="4"/>
      <c r="AH173" s="4"/>
    </row>
    <row r="174" spans="1:34" s="26" customFormat="1">
      <c r="A174" s="4"/>
      <c r="B174" s="4"/>
      <c r="C174" s="4"/>
      <c r="D174" s="4"/>
      <c r="X174" s="1"/>
      <c r="AC174" s="1"/>
      <c r="AH174" s="1"/>
    </row>
    <row r="175" spans="1:34" s="26" customFormat="1">
      <c r="A175" s="4"/>
      <c r="B175" s="4"/>
      <c r="C175" s="4"/>
      <c r="D175" s="4"/>
      <c r="X175" s="1"/>
      <c r="AC175" s="1"/>
      <c r="AH175" s="1"/>
    </row>
    <row r="176" spans="1:34" s="26" customFormat="1">
      <c r="A176" s="4"/>
      <c r="B176" s="4"/>
      <c r="C176" s="4"/>
      <c r="D176" s="4"/>
      <c r="X176" s="1"/>
      <c r="AC176" s="1"/>
      <c r="AH176" s="1"/>
    </row>
    <row r="177" spans="1:34" s="26" customFormat="1">
      <c r="A177" s="4"/>
      <c r="B177" s="4"/>
      <c r="C177" s="4"/>
      <c r="D177" s="4"/>
      <c r="X177" s="1"/>
      <c r="AC177" s="1"/>
      <c r="AH177" s="1"/>
    </row>
    <row r="178" spans="1:34" s="26" customFormat="1">
      <c r="A178" s="4"/>
      <c r="B178" s="4"/>
      <c r="C178" s="4"/>
      <c r="D178" s="4"/>
      <c r="X178" s="1"/>
      <c r="AC178" s="1"/>
      <c r="AH178" s="1"/>
    </row>
    <row r="179" spans="1:34" s="26" customFormat="1">
      <c r="A179" s="4"/>
      <c r="B179" s="4"/>
      <c r="C179" s="4"/>
      <c r="D179" s="4"/>
      <c r="X179" s="1"/>
      <c r="AC179" s="1"/>
      <c r="AH179" s="1"/>
    </row>
    <row r="180" spans="1:34" s="26" customFormat="1">
      <c r="A180" s="4"/>
      <c r="B180" s="4"/>
      <c r="C180" s="4"/>
      <c r="D180" s="4"/>
      <c r="X180" s="1"/>
      <c r="AC180" s="1"/>
      <c r="AH180" s="1"/>
    </row>
    <row r="181" spans="1:34" s="26" customFormat="1">
      <c r="A181" s="4"/>
      <c r="B181" s="4"/>
      <c r="C181" s="4"/>
      <c r="D181" s="4"/>
      <c r="X181" s="1"/>
      <c r="AC181" s="1"/>
      <c r="AH181" s="1"/>
    </row>
    <row r="182" spans="1:34" s="26" customFormat="1">
      <c r="A182" s="4"/>
      <c r="B182" s="4"/>
      <c r="C182" s="4"/>
      <c r="D182" s="4"/>
      <c r="X182" s="1"/>
      <c r="AC182" s="1"/>
      <c r="AH182" s="1"/>
    </row>
    <row r="183" spans="1:34" s="26" customFormat="1">
      <c r="A183" s="4"/>
      <c r="B183" s="4"/>
      <c r="C183" s="4"/>
      <c r="D183" s="4"/>
      <c r="X183" s="1"/>
      <c r="AC183" s="1"/>
      <c r="AH183" s="1"/>
    </row>
    <row r="184" spans="1:34" s="26" customFormat="1">
      <c r="A184" s="4"/>
      <c r="B184" s="4"/>
      <c r="C184" s="4"/>
      <c r="D184" s="4"/>
      <c r="X184" s="1"/>
      <c r="AC184" s="1"/>
      <c r="AH184" s="1"/>
    </row>
    <row r="185" spans="1:34" s="26" customFormat="1">
      <c r="A185" s="4"/>
      <c r="B185" s="4"/>
      <c r="C185" s="4"/>
      <c r="D185" s="4"/>
      <c r="X185" s="1"/>
      <c r="AC185" s="1"/>
      <c r="AH185" s="1"/>
    </row>
    <row r="186" spans="1:34" s="26" customFormat="1">
      <c r="A186" s="4"/>
      <c r="B186" s="4"/>
      <c r="C186" s="4"/>
      <c r="D186" s="4"/>
      <c r="X186" s="1"/>
      <c r="AC186" s="1"/>
      <c r="AH186" s="1"/>
    </row>
    <row r="187" spans="1:34" s="26" customFormat="1">
      <c r="A187" s="4"/>
      <c r="B187" s="4"/>
      <c r="C187" s="4"/>
      <c r="D187" s="4"/>
      <c r="X187" s="1"/>
      <c r="AC187" s="1"/>
      <c r="AH187" s="1"/>
    </row>
    <row r="188" spans="1:34" s="26" customFormat="1">
      <c r="A188" s="4"/>
      <c r="B188" s="4"/>
      <c r="C188" s="4"/>
      <c r="D188" s="4"/>
      <c r="X188" s="1"/>
      <c r="AC188" s="1"/>
      <c r="AH188" s="1"/>
    </row>
    <row r="189" spans="1:34" s="26" customFormat="1">
      <c r="A189" s="4"/>
      <c r="B189" s="4"/>
      <c r="C189" s="4"/>
      <c r="D189" s="4"/>
      <c r="X189" s="1"/>
      <c r="AC189" s="1"/>
      <c r="AH189" s="1"/>
    </row>
    <row r="190" spans="1:34" s="26" customFormat="1">
      <c r="A190" s="4"/>
      <c r="B190" s="4"/>
      <c r="C190" s="4"/>
      <c r="D190" s="4"/>
      <c r="X190" s="1"/>
      <c r="AC190" s="1"/>
      <c r="AH190" s="1"/>
    </row>
    <row r="191" spans="1:34" s="26" customFormat="1">
      <c r="A191" s="4"/>
      <c r="B191" s="4"/>
      <c r="C191" s="4"/>
      <c r="D191" s="4"/>
      <c r="X191" s="1"/>
      <c r="AC191" s="1"/>
      <c r="AH191" s="1"/>
    </row>
    <row r="192" spans="1:34" s="26" customFormat="1">
      <c r="A192" s="4"/>
      <c r="B192" s="4"/>
      <c r="C192" s="4"/>
      <c r="D192" s="4"/>
      <c r="X192" s="4"/>
      <c r="AC192" s="4"/>
      <c r="AH192" s="4"/>
    </row>
    <row r="193" spans="1:34" s="26" customFormat="1">
      <c r="A193" s="4"/>
      <c r="B193" s="4"/>
      <c r="C193" s="4"/>
      <c r="D193" s="4"/>
      <c r="X193" s="4"/>
      <c r="AC193" s="4"/>
      <c r="AH193" s="4"/>
    </row>
    <row r="194" spans="1:34" s="26" customFormat="1">
      <c r="A194" s="4"/>
      <c r="B194" s="4"/>
      <c r="C194" s="4"/>
      <c r="D194" s="4"/>
      <c r="X194" s="4"/>
      <c r="AC194" s="4"/>
      <c r="AH194" s="4"/>
    </row>
    <row r="195" spans="1:34" s="26" customFormat="1">
      <c r="A195" s="4"/>
      <c r="B195" s="4"/>
      <c r="C195" s="4"/>
      <c r="D195" s="4"/>
      <c r="X195" s="4"/>
      <c r="AC195" s="4"/>
      <c r="AH195" s="4"/>
    </row>
    <row r="196" spans="1:34" s="26" customFormat="1">
      <c r="A196" s="4"/>
      <c r="B196" s="4"/>
      <c r="C196" s="4"/>
      <c r="D196" s="4"/>
      <c r="X196" s="4"/>
      <c r="AC196" s="4"/>
      <c r="AH196" s="4"/>
    </row>
    <row r="197" spans="1:34" s="26" customFormat="1">
      <c r="A197" s="4"/>
      <c r="B197" s="4"/>
      <c r="C197" s="4"/>
      <c r="D197" s="4"/>
      <c r="X197" s="4"/>
      <c r="AC197" s="4"/>
      <c r="AH197" s="4"/>
    </row>
    <row r="198" spans="1:34" s="26" customFormat="1">
      <c r="A198" s="4"/>
      <c r="B198" s="4"/>
      <c r="C198" s="4"/>
      <c r="D198" s="4"/>
      <c r="X198" s="4"/>
      <c r="AC198" s="4"/>
      <c r="AH198" s="4"/>
    </row>
    <row r="199" spans="1:34" s="26" customFormat="1">
      <c r="A199" s="4"/>
      <c r="B199" s="4"/>
      <c r="C199" s="4"/>
      <c r="D199" s="4"/>
      <c r="X199" s="4"/>
      <c r="AC199" s="4"/>
      <c r="AH199" s="4"/>
    </row>
    <row r="200" spans="1:34" s="26" customFormat="1">
      <c r="A200" s="4"/>
      <c r="B200" s="4"/>
      <c r="C200" s="4"/>
      <c r="D200" s="4"/>
      <c r="X200" s="4"/>
      <c r="AC200" s="4"/>
      <c r="AH200" s="4"/>
    </row>
    <row r="201" spans="1:34" s="26" customFormat="1">
      <c r="A201" s="4"/>
      <c r="B201" s="4"/>
      <c r="C201" s="4"/>
      <c r="D201" s="4"/>
      <c r="X201" s="4"/>
      <c r="AC201" s="4"/>
      <c r="AH201" s="4"/>
    </row>
    <row r="202" spans="1:34" s="26" customFormat="1">
      <c r="A202" s="4"/>
      <c r="B202" s="4"/>
      <c r="C202" s="4"/>
      <c r="D202" s="4"/>
      <c r="X202" s="4"/>
      <c r="AC202" s="4"/>
      <c r="AH202" s="4"/>
    </row>
    <row r="203" spans="1:34" s="26" customFormat="1">
      <c r="A203" s="4"/>
      <c r="B203" s="4"/>
      <c r="C203" s="4"/>
      <c r="D203" s="4"/>
      <c r="X203" s="4"/>
      <c r="AC203" s="4"/>
      <c r="AH203" s="4"/>
    </row>
    <row r="204" spans="1:34" s="26" customFormat="1">
      <c r="A204" s="4"/>
      <c r="B204" s="4"/>
      <c r="C204" s="4"/>
      <c r="D204" s="4"/>
      <c r="X204" s="4"/>
      <c r="AC204" s="4"/>
      <c r="AH204" s="4"/>
    </row>
    <row r="205" spans="1:34" s="26" customFormat="1">
      <c r="A205" s="4"/>
      <c r="B205" s="4"/>
      <c r="C205" s="4"/>
      <c r="D205" s="4"/>
      <c r="X205" s="4"/>
      <c r="AC205" s="4"/>
      <c r="AH205" s="4"/>
    </row>
    <row r="206" spans="1:34" s="26" customFormat="1">
      <c r="A206" s="4"/>
      <c r="B206" s="4"/>
      <c r="C206" s="4"/>
      <c r="D206" s="4"/>
      <c r="X206" s="4"/>
      <c r="AC206" s="4"/>
      <c r="AH206" s="4"/>
    </row>
    <row r="207" spans="1:34" s="26" customFormat="1">
      <c r="A207" s="4"/>
      <c r="B207" s="4"/>
      <c r="C207" s="4"/>
      <c r="D207" s="4"/>
      <c r="X207" s="4"/>
      <c r="AC207" s="4"/>
      <c r="AH207" s="4"/>
    </row>
    <row r="208" spans="1:34" s="26" customFormat="1">
      <c r="A208" s="4"/>
      <c r="B208" s="4"/>
      <c r="C208" s="4"/>
      <c r="D208" s="4"/>
      <c r="X208" s="4"/>
      <c r="AC208" s="4"/>
      <c r="AH208" s="4"/>
    </row>
    <row r="209" spans="1:34" s="26" customFormat="1">
      <c r="A209" s="4"/>
      <c r="B209" s="4"/>
      <c r="C209" s="4"/>
      <c r="D209" s="4"/>
      <c r="X209" s="4"/>
      <c r="AC209" s="4"/>
      <c r="AH209" s="4"/>
    </row>
    <row r="210" spans="1:34" s="26" customFormat="1">
      <c r="A210" s="4"/>
      <c r="B210" s="4"/>
      <c r="C210" s="4"/>
      <c r="D210" s="4"/>
      <c r="X210" s="4"/>
      <c r="AC210" s="4"/>
      <c r="AH210" s="4"/>
    </row>
    <row r="211" spans="1:34" s="26" customFormat="1">
      <c r="A211" s="4"/>
      <c r="B211" s="4"/>
      <c r="C211" s="4"/>
      <c r="D211" s="4"/>
      <c r="X211" s="4"/>
      <c r="AC211" s="4"/>
      <c r="AH211" s="4"/>
    </row>
    <row r="212" spans="1:34" s="26" customFormat="1">
      <c r="A212" s="4"/>
      <c r="B212" s="4"/>
      <c r="C212" s="4"/>
      <c r="D212" s="4"/>
      <c r="X212" s="4"/>
      <c r="AC212" s="4"/>
      <c r="AH212" s="4"/>
    </row>
    <row r="213" spans="1:34" s="26" customFormat="1">
      <c r="A213" s="4"/>
      <c r="B213" s="4"/>
      <c r="C213" s="4"/>
      <c r="D213" s="4"/>
      <c r="X213" s="4"/>
      <c r="AC213" s="4"/>
      <c r="AH213" s="4"/>
    </row>
    <row r="214" spans="1:34" s="26" customFormat="1">
      <c r="A214" s="4"/>
      <c r="B214" s="4"/>
      <c r="C214" s="4"/>
      <c r="D214" s="4"/>
      <c r="X214" s="4"/>
      <c r="AC214" s="4"/>
      <c r="AH214" s="4"/>
    </row>
    <row r="215" spans="1:34" s="26" customFormat="1">
      <c r="A215" s="4"/>
      <c r="B215" s="4"/>
      <c r="C215" s="4"/>
      <c r="D215" s="4"/>
      <c r="X215" s="4"/>
      <c r="AC215" s="4"/>
      <c r="AH215" s="4"/>
    </row>
    <row r="216" spans="1:34" s="26" customFormat="1">
      <c r="A216" s="4"/>
      <c r="B216" s="4"/>
      <c r="C216" s="4"/>
      <c r="D216" s="4"/>
      <c r="X216" s="4"/>
      <c r="AC216" s="4"/>
      <c r="AH216" s="4"/>
    </row>
    <row r="217" spans="1:34" s="26" customFormat="1">
      <c r="A217" s="4"/>
      <c r="B217" s="4"/>
      <c r="C217" s="4"/>
      <c r="D217" s="4"/>
      <c r="X217" s="4"/>
      <c r="AC217" s="4"/>
      <c r="AH217" s="4"/>
    </row>
    <row r="218" spans="1:34" s="26" customFormat="1">
      <c r="A218" s="4"/>
      <c r="B218" s="4"/>
      <c r="C218" s="4"/>
      <c r="D218" s="4"/>
      <c r="X218" s="4"/>
      <c r="AC218" s="4"/>
      <c r="AH218" s="4"/>
    </row>
    <row r="219" spans="1:34" s="26" customFormat="1">
      <c r="A219" s="4"/>
      <c r="B219" s="4"/>
      <c r="C219" s="4"/>
      <c r="D219" s="4"/>
      <c r="X219" s="4"/>
      <c r="AC219" s="4"/>
      <c r="AH219" s="4"/>
    </row>
    <row r="220" spans="1:34" s="26" customFormat="1">
      <c r="A220" s="4"/>
      <c r="B220" s="4"/>
      <c r="C220" s="4"/>
      <c r="D220" s="4"/>
      <c r="X220" s="4"/>
      <c r="AC220" s="4"/>
      <c r="AH220" s="4"/>
    </row>
    <row r="221" spans="1:34" s="26" customFormat="1">
      <c r="A221" s="4"/>
      <c r="B221" s="4"/>
      <c r="C221" s="4"/>
      <c r="D221" s="4"/>
      <c r="X221" s="4"/>
      <c r="AC221" s="4"/>
      <c r="AH221" s="4"/>
    </row>
    <row r="222" spans="1:34" s="26" customFormat="1">
      <c r="A222" s="4"/>
      <c r="B222" s="4"/>
      <c r="C222" s="4"/>
      <c r="D222" s="4"/>
      <c r="X222" s="4"/>
      <c r="AC222" s="4"/>
      <c r="AH222" s="4"/>
    </row>
    <row r="223" spans="1:34" s="26" customFormat="1">
      <c r="A223" s="4"/>
      <c r="B223" s="4"/>
      <c r="C223" s="4"/>
      <c r="D223" s="4"/>
      <c r="X223" s="4"/>
      <c r="AC223" s="4"/>
      <c r="AH223" s="4"/>
    </row>
    <row r="224" spans="1:34" s="26" customFormat="1">
      <c r="A224" s="4"/>
      <c r="B224" s="4"/>
      <c r="C224" s="4"/>
      <c r="D224" s="4"/>
      <c r="X224" s="4"/>
      <c r="AC224" s="4"/>
      <c r="AH224" s="4"/>
    </row>
    <row r="225" spans="1:34" s="26" customFormat="1">
      <c r="A225" s="4"/>
      <c r="B225" s="4"/>
      <c r="C225" s="4"/>
      <c r="D225" s="4"/>
      <c r="X225" s="4"/>
      <c r="AC225" s="4"/>
      <c r="AH225" s="4"/>
    </row>
    <row r="226" spans="1:34" s="26" customFormat="1">
      <c r="A226" s="4"/>
      <c r="B226" s="4"/>
      <c r="C226" s="4"/>
      <c r="D226" s="4"/>
      <c r="X226" s="4"/>
      <c r="AC226" s="4"/>
      <c r="AH226" s="4"/>
    </row>
    <row r="227" spans="1:34" s="26" customFormat="1">
      <c r="A227" s="4"/>
      <c r="B227" s="4"/>
      <c r="C227" s="4"/>
      <c r="D227" s="4"/>
      <c r="X227" s="4"/>
      <c r="AC227" s="4"/>
      <c r="AH227" s="4"/>
    </row>
    <row r="228" spans="1:34" s="26" customFormat="1">
      <c r="A228" s="4"/>
      <c r="B228" s="4"/>
      <c r="C228" s="4"/>
      <c r="D228" s="4"/>
      <c r="X228" s="4"/>
      <c r="AC228" s="4"/>
      <c r="AH228" s="4"/>
    </row>
    <row r="229" spans="1:34" s="26" customFormat="1">
      <c r="A229" s="4"/>
      <c r="B229" s="4"/>
      <c r="C229" s="4"/>
      <c r="D229" s="4"/>
      <c r="X229" s="4"/>
      <c r="AC229" s="4"/>
      <c r="AH229" s="4"/>
    </row>
    <row r="230" spans="1:34" s="26" customFormat="1">
      <c r="A230" s="4"/>
      <c r="B230" s="4"/>
      <c r="C230" s="4"/>
      <c r="D230" s="4"/>
      <c r="X230" s="4"/>
      <c r="AC230" s="4"/>
      <c r="AH230" s="4"/>
    </row>
    <row r="231" spans="1:34" s="26" customFormat="1">
      <c r="A231" s="4"/>
      <c r="B231" s="4"/>
      <c r="C231" s="4"/>
      <c r="D231" s="4"/>
      <c r="X231" s="4"/>
      <c r="AC231" s="4"/>
      <c r="AH231" s="4"/>
    </row>
    <row r="232" spans="1:34" s="26" customFormat="1">
      <c r="A232" s="4"/>
      <c r="B232" s="4"/>
      <c r="C232" s="4"/>
      <c r="D232" s="4"/>
      <c r="X232" s="4"/>
      <c r="AC232" s="4"/>
      <c r="AH232" s="4"/>
    </row>
    <row r="233" spans="1:34" s="26" customFormat="1">
      <c r="A233" s="4"/>
      <c r="B233" s="4"/>
      <c r="C233" s="4"/>
      <c r="D233" s="4"/>
      <c r="X233" s="4"/>
      <c r="AC233" s="4"/>
      <c r="AH233" s="4"/>
    </row>
    <row r="234" spans="1:34" s="26" customFormat="1">
      <c r="A234" s="4"/>
      <c r="B234" s="4"/>
      <c r="C234" s="4"/>
      <c r="D234" s="4"/>
      <c r="X234" s="4"/>
      <c r="AC234" s="4"/>
      <c r="AH234" s="4"/>
    </row>
    <row r="235" spans="1:34" s="26" customFormat="1">
      <c r="A235" s="4"/>
      <c r="B235" s="4"/>
      <c r="C235" s="4"/>
      <c r="D235" s="4"/>
      <c r="X235" s="4"/>
      <c r="AC235" s="4"/>
      <c r="AH235" s="4"/>
    </row>
    <row r="236" spans="1:34" s="26" customFormat="1">
      <c r="A236" s="4"/>
      <c r="B236" s="4"/>
      <c r="C236" s="4"/>
      <c r="D236" s="4"/>
      <c r="X236" s="4"/>
      <c r="AC236" s="4"/>
      <c r="AH236" s="4"/>
    </row>
    <row r="237" spans="1:34" s="26" customFormat="1">
      <c r="A237" s="4"/>
      <c r="B237" s="4"/>
      <c r="C237" s="4"/>
      <c r="D237" s="4"/>
      <c r="X237" s="4"/>
      <c r="AC237" s="4"/>
      <c r="AH237" s="4"/>
    </row>
    <row r="238" spans="1:34" s="26" customFormat="1">
      <c r="A238" s="4"/>
      <c r="B238" s="4"/>
      <c r="C238" s="4"/>
      <c r="D238" s="4"/>
      <c r="X238" s="4"/>
      <c r="AC238" s="4"/>
      <c r="AH238" s="4"/>
    </row>
    <row r="239" spans="1:34" s="26" customFormat="1">
      <c r="A239" s="4"/>
      <c r="B239" s="4"/>
      <c r="C239" s="4"/>
      <c r="D239" s="4"/>
      <c r="X239" s="4"/>
      <c r="AC239" s="4"/>
      <c r="AH239" s="4"/>
    </row>
    <row r="240" spans="1:34" s="26" customFormat="1">
      <c r="A240" s="4"/>
      <c r="B240" s="4"/>
      <c r="C240" s="4"/>
      <c r="D240" s="4"/>
      <c r="X240" s="4"/>
      <c r="AC240" s="4"/>
      <c r="AH240" s="4"/>
    </row>
    <row r="241" spans="1:34" s="26" customFormat="1">
      <c r="A241" s="4"/>
      <c r="B241" s="4"/>
      <c r="C241" s="4"/>
      <c r="D241" s="4"/>
      <c r="X241" s="4"/>
      <c r="AC241" s="4"/>
      <c r="AH241" s="4"/>
    </row>
    <row r="242" spans="1:34" s="26" customFormat="1">
      <c r="A242" s="4"/>
      <c r="B242" s="4"/>
      <c r="C242" s="4"/>
      <c r="D242" s="4"/>
      <c r="X242" s="4"/>
      <c r="AC242" s="4"/>
      <c r="AH242" s="4"/>
    </row>
    <row r="243" spans="1:34" s="26" customFormat="1">
      <c r="A243" s="4"/>
      <c r="B243" s="4"/>
      <c r="C243" s="4"/>
      <c r="D243" s="4"/>
      <c r="X243" s="4"/>
      <c r="AC243" s="4"/>
      <c r="AH243" s="4"/>
    </row>
    <row r="244" spans="1:34" s="26" customFormat="1">
      <c r="A244" s="4"/>
      <c r="B244" s="4"/>
      <c r="C244" s="4"/>
      <c r="D244" s="4"/>
      <c r="X244" s="4"/>
      <c r="AC244" s="4"/>
      <c r="AH244" s="4"/>
    </row>
    <row r="245" spans="1:34" s="26" customFormat="1">
      <c r="A245" s="4"/>
      <c r="B245" s="4"/>
      <c r="C245" s="4"/>
      <c r="D245" s="4"/>
      <c r="X245" s="4"/>
      <c r="AC245" s="4"/>
      <c r="AH245" s="4"/>
    </row>
    <row r="246" spans="1:34" s="26" customFormat="1">
      <c r="A246" s="4"/>
      <c r="B246" s="4"/>
      <c r="C246" s="4"/>
      <c r="D246" s="4"/>
      <c r="X246" s="4"/>
      <c r="AC246" s="4"/>
      <c r="AH246" s="4"/>
    </row>
    <row r="247" spans="1:34" s="26" customFormat="1">
      <c r="A247" s="4"/>
      <c r="B247" s="4"/>
      <c r="C247" s="4"/>
      <c r="D247" s="4"/>
      <c r="X247" s="4"/>
      <c r="AC247" s="4"/>
      <c r="AH247" s="4"/>
    </row>
    <row r="248" spans="1:34" s="26" customFormat="1">
      <c r="A248" s="4"/>
      <c r="B248" s="4"/>
      <c r="C248" s="4"/>
      <c r="D248" s="4"/>
      <c r="X248" s="4"/>
      <c r="AC248" s="4"/>
      <c r="AH248" s="4"/>
    </row>
    <row r="249" spans="1:34" s="26" customFormat="1">
      <c r="A249" s="4"/>
      <c r="B249" s="4"/>
      <c r="C249" s="4"/>
      <c r="D249" s="4"/>
      <c r="X249" s="4"/>
      <c r="AC249" s="4"/>
      <c r="AH249" s="4"/>
    </row>
    <row r="250" spans="1:34" s="26" customFormat="1">
      <c r="A250" s="4"/>
      <c r="B250" s="4"/>
      <c r="C250" s="4"/>
      <c r="D250" s="4"/>
      <c r="X250" s="4"/>
      <c r="AC250" s="4"/>
      <c r="AH250" s="4"/>
    </row>
    <row r="251" spans="1:34" s="26" customFormat="1">
      <c r="A251" s="4"/>
      <c r="B251" s="4"/>
      <c r="C251" s="4"/>
      <c r="D251" s="4"/>
      <c r="X251" s="4"/>
      <c r="AC251" s="4"/>
      <c r="AH251" s="4"/>
    </row>
    <row r="252" spans="1:34" s="26" customFormat="1">
      <c r="A252" s="4"/>
      <c r="B252" s="4"/>
      <c r="C252" s="4"/>
      <c r="D252" s="4"/>
      <c r="X252" s="4"/>
      <c r="AC252" s="4"/>
      <c r="AH252" s="4"/>
    </row>
    <row r="253" spans="1:34" s="26" customFormat="1">
      <c r="A253" s="4"/>
      <c r="B253" s="4"/>
      <c r="C253" s="4"/>
      <c r="D253" s="4"/>
      <c r="X253" s="4"/>
      <c r="AC253" s="4"/>
      <c r="AH253" s="4"/>
    </row>
    <row r="254" spans="1:34" s="26" customFormat="1">
      <c r="A254" s="4"/>
      <c r="B254" s="4"/>
      <c r="C254" s="4"/>
      <c r="D254" s="4"/>
      <c r="X254" s="4"/>
      <c r="AC254" s="4"/>
      <c r="AH254" s="4"/>
    </row>
    <row r="255" spans="1:34" s="26" customFormat="1">
      <c r="A255" s="4"/>
      <c r="B255" s="4"/>
      <c r="C255" s="4"/>
      <c r="D255" s="4"/>
      <c r="X255" s="4"/>
      <c r="AC255" s="4"/>
      <c r="AH255" s="4"/>
    </row>
    <row r="256" spans="1:34" s="26" customFormat="1">
      <c r="A256" s="4"/>
      <c r="B256" s="4"/>
      <c r="C256" s="4"/>
      <c r="D256" s="4"/>
      <c r="X256" s="4"/>
      <c r="AC256" s="4"/>
      <c r="AH256" s="4"/>
    </row>
    <row r="257" spans="1:34" s="26" customFormat="1">
      <c r="A257" s="4"/>
      <c r="B257" s="4"/>
      <c r="C257" s="4"/>
      <c r="D257" s="4"/>
      <c r="X257" s="4"/>
      <c r="AC257" s="4"/>
      <c r="AH257" s="4"/>
    </row>
    <row r="258" spans="1:34" s="26" customFormat="1">
      <c r="A258" s="4"/>
      <c r="B258" s="4"/>
      <c r="C258" s="4"/>
      <c r="D258" s="4"/>
      <c r="X258" s="4"/>
      <c r="AC258" s="4"/>
      <c r="AH258" s="4"/>
    </row>
    <row r="259" spans="1:34" s="26" customFormat="1">
      <c r="A259" s="4"/>
      <c r="B259" s="4"/>
      <c r="C259" s="4"/>
      <c r="D259" s="4"/>
      <c r="X259" s="4"/>
      <c r="AC259" s="4"/>
      <c r="AH259" s="4"/>
    </row>
    <row r="260" spans="1:34" s="26" customFormat="1">
      <c r="A260" s="4"/>
      <c r="B260" s="4"/>
      <c r="C260" s="4"/>
      <c r="D260" s="4"/>
      <c r="X260" s="4"/>
      <c r="AC260" s="4"/>
      <c r="AH260" s="4"/>
    </row>
    <row r="261" spans="1:34" s="26" customFormat="1">
      <c r="A261" s="4"/>
      <c r="B261" s="4"/>
      <c r="C261" s="4"/>
      <c r="D261" s="4"/>
      <c r="X261" s="4"/>
      <c r="AC261" s="4"/>
      <c r="AH261" s="4"/>
    </row>
    <row r="262" spans="1:34" s="26" customFormat="1">
      <c r="A262" s="4"/>
      <c r="B262" s="4"/>
      <c r="C262" s="4"/>
      <c r="D262" s="4"/>
      <c r="X262" s="4"/>
      <c r="AC262" s="4"/>
      <c r="AH262" s="4"/>
    </row>
    <row r="263" spans="1:34" s="26" customFormat="1">
      <c r="A263" s="4"/>
      <c r="B263" s="4"/>
      <c r="C263" s="4"/>
      <c r="D263" s="4"/>
      <c r="X263" s="4"/>
      <c r="AC263" s="4"/>
      <c r="AH263" s="4"/>
    </row>
    <row r="264" spans="1:34" s="26" customFormat="1">
      <c r="A264" s="4"/>
      <c r="B264" s="4"/>
      <c r="C264" s="4"/>
      <c r="D264" s="4"/>
      <c r="X264" s="4"/>
      <c r="AC264" s="4"/>
      <c r="AH264" s="4"/>
    </row>
    <row r="265" spans="1:34" s="26" customFormat="1">
      <c r="A265" s="4"/>
      <c r="B265" s="4"/>
      <c r="C265" s="4"/>
      <c r="D265" s="4"/>
      <c r="X265" s="4"/>
      <c r="AC265" s="4"/>
      <c r="AH265" s="4"/>
    </row>
    <row r="266" spans="1:34" s="26" customFormat="1">
      <c r="A266" s="4"/>
      <c r="B266" s="4"/>
      <c r="C266" s="4"/>
      <c r="D266" s="4"/>
      <c r="X266" s="4"/>
      <c r="AC266" s="4"/>
      <c r="AH266" s="4"/>
    </row>
    <row r="267" spans="1:34" s="26" customFormat="1">
      <c r="A267" s="4"/>
      <c r="B267" s="4"/>
      <c r="C267" s="4"/>
      <c r="D267" s="4"/>
      <c r="X267" s="4"/>
      <c r="AC267" s="4"/>
      <c r="AH267" s="4"/>
    </row>
    <row r="268" spans="1:34" s="26" customFormat="1">
      <c r="A268" s="4"/>
      <c r="B268" s="4"/>
      <c r="C268" s="4"/>
      <c r="D268" s="4"/>
      <c r="X268" s="4"/>
      <c r="AC268" s="4"/>
      <c r="AH268" s="4"/>
    </row>
    <row r="269" spans="1:34" s="26" customFormat="1">
      <c r="A269" s="4"/>
      <c r="B269" s="4"/>
      <c r="C269" s="4"/>
      <c r="D269" s="4"/>
      <c r="X269" s="4"/>
      <c r="AC269" s="4"/>
      <c r="AH269" s="4"/>
    </row>
    <row r="270" spans="1:34" s="26" customFormat="1">
      <c r="A270" s="4"/>
      <c r="B270" s="4"/>
      <c r="C270" s="4"/>
      <c r="D270" s="4"/>
      <c r="X270" s="4"/>
      <c r="AC270" s="4"/>
      <c r="AH270" s="4"/>
    </row>
    <row r="271" spans="1:34" s="26" customFormat="1">
      <c r="A271" s="4"/>
      <c r="B271" s="4"/>
      <c r="C271" s="4"/>
      <c r="D271" s="4"/>
      <c r="X271" s="4"/>
      <c r="AC271" s="4"/>
      <c r="AH271" s="4"/>
    </row>
    <row r="272" spans="1:34" s="26" customFormat="1">
      <c r="A272" s="4"/>
      <c r="B272" s="4"/>
      <c r="C272" s="4"/>
      <c r="D272" s="4"/>
      <c r="X272" s="4"/>
      <c r="AC272" s="4"/>
      <c r="AH272" s="4"/>
    </row>
    <row r="273" spans="1:34" s="26" customFormat="1">
      <c r="A273" s="4"/>
      <c r="B273" s="4"/>
      <c r="C273" s="4"/>
      <c r="D273" s="4"/>
      <c r="X273" s="4"/>
      <c r="AC273" s="4"/>
      <c r="AH273" s="4"/>
    </row>
    <row r="274" spans="1:34" s="26" customFormat="1">
      <c r="A274" s="4"/>
      <c r="B274" s="4"/>
      <c r="C274" s="4"/>
      <c r="D274" s="4"/>
      <c r="X274" s="4"/>
      <c r="AC274" s="4"/>
      <c r="AH274" s="4"/>
    </row>
    <row r="275" spans="1:34" s="26" customFormat="1">
      <c r="A275" s="4"/>
      <c r="B275" s="4"/>
      <c r="C275" s="4"/>
      <c r="D275" s="4"/>
      <c r="X275" s="4"/>
      <c r="AC275" s="4"/>
      <c r="AH275" s="4"/>
    </row>
    <row r="276" spans="1:34" s="26" customFormat="1">
      <c r="A276" s="4"/>
      <c r="B276" s="4"/>
      <c r="C276" s="4"/>
      <c r="D276" s="4"/>
      <c r="X276" s="4"/>
      <c r="AC276" s="4"/>
      <c r="AH276" s="4"/>
    </row>
    <row r="277" spans="1:34" s="26" customFormat="1">
      <c r="A277" s="4"/>
      <c r="B277" s="4"/>
      <c r="C277" s="4"/>
      <c r="D277" s="4"/>
      <c r="X277" s="4"/>
      <c r="AC277" s="4"/>
      <c r="AH277" s="4"/>
    </row>
    <row r="278" spans="1:34" s="26" customFormat="1">
      <c r="A278" s="4"/>
      <c r="B278" s="4"/>
      <c r="C278" s="4"/>
      <c r="D278" s="4"/>
      <c r="X278" s="4"/>
      <c r="AC278" s="4"/>
      <c r="AH278" s="4"/>
    </row>
    <row r="279" spans="1:34" s="26" customFormat="1">
      <c r="A279" s="4"/>
      <c r="B279" s="4"/>
      <c r="C279" s="4"/>
      <c r="D279" s="4"/>
      <c r="X279" s="4"/>
      <c r="AC279" s="4"/>
      <c r="AH279" s="4"/>
    </row>
    <row r="280" spans="1:34" s="26" customFormat="1">
      <c r="A280" s="4"/>
      <c r="B280" s="4"/>
      <c r="C280" s="4"/>
      <c r="D280" s="4"/>
      <c r="X280" s="4"/>
      <c r="AC280" s="4"/>
      <c r="AH280" s="4"/>
    </row>
    <row r="281" spans="1:34" s="26" customFormat="1">
      <c r="A281" s="4"/>
      <c r="B281" s="4"/>
      <c r="C281" s="4"/>
      <c r="D281" s="4"/>
      <c r="X281" s="4"/>
      <c r="AC281" s="4"/>
      <c r="AH281" s="4"/>
    </row>
    <row r="282" spans="1:34" s="26" customFormat="1">
      <c r="A282" s="4"/>
      <c r="B282" s="4"/>
      <c r="C282" s="4"/>
      <c r="D282" s="4"/>
      <c r="X282" s="4"/>
      <c r="AC282" s="4"/>
      <c r="AH282" s="4"/>
    </row>
    <row r="283" spans="1:34" s="26" customFormat="1">
      <c r="A283" s="4"/>
      <c r="B283" s="4"/>
      <c r="C283" s="4"/>
      <c r="D283" s="4"/>
      <c r="X283" s="4"/>
      <c r="AC283" s="4"/>
      <c r="AH283" s="4"/>
    </row>
    <row r="284" spans="1:34" s="26" customFormat="1">
      <c r="A284" s="4"/>
      <c r="B284" s="4"/>
      <c r="C284" s="4"/>
      <c r="D284" s="4"/>
      <c r="X284" s="4"/>
      <c r="AC284" s="4"/>
      <c r="AH284" s="4"/>
    </row>
    <row r="285" spans="1:34" s="26" customFormat="1">
      <c r="A285" s="4"/>
      <c r="B285" s="4"/>
      <c r="C285" s="4"/>
      <c r="D285" s="4"/>
      <c r="X285" s="4"/>
      <c r="AC285" s="4"/>
      <c r="AH285" s="4"/>
    </row>
    <row r="286" spans="1:34" s="26" customFormat="1">
      <c r="A286" s="4"/>
      <c r="B286" s="4"/>
      <c r="C286" s="4"/>
      <c r="D286" s="4"/>
      <c r="X286" s="4"/>
      <c r="AC286" s="4"/>
      <c r="AH286" s="4"/>
    </row>
    <row r="287" spans="1:34" s="26" customFormat="1">
      <c r="A287" s="4"/>
      <c r="B287" s="4"/>
      <c r="C287" s="4"/>
      <c r="D287" s="4"/>
      <c r="X287" s="4"/>
      <c r="AC287" s="4"/>
      <c r="AH287" s="4"/>
    </row>
    <row r="288" spans="1:34" s="26" customFormat="1">
      <c r="A288" s="4"/>
      <c r="B288" s="4"/>
      <c r="C288" s="4"/>
      <c r="D288" s="4"/>
      <c r="X288" s="4"/>
      <c r="AC288" s="4"/>
      <c r="AH288" s="4"/>
    </row>
    <row r="289" spans="1:34" s="26" customFormat="1">
      <c r="A289" s="4"/>
      <c r="B289" s="4"/>
      <c r="C289" s="4"/>
      <c r="D289" s="4"/>
      <c r="X289" s="4"/>
      <c r="AC289" s="4"/>
      <c r="AH289" s="4"/>
    </row>
    <row r="290" spans="1:34" s="26" customFormat="1">
      <c r="A290" s="4"/>
      <c r="B290" s="4"/>
      <c r="C290" s="4"/>
      <c r="D290" s="4"/>
      <c r="X290" s="4"/>
      <c r="AC290" s="4"/>
      <c r="AH290" s="4"/>
    </row>
    <row r="291" spans="1:34" s="26" customFormat="1">
      <c r="A291" s="4"/>
      <c r="B291" s="4"/>
      <c r="C291" s="4"/>
      <c r="D291" s="4"/>
      <c r="X291" s="4"/>
      <c r="AC291" s="4"/>
      <c r="AH291" s="4"/>
    </row>
    <row r="292" spans="1:34" s="26" customFormat="1">
      <c r="A292" s="4"/>
      <c r="B292" s="4"/>
      <c r="C292" s="4"/>
      <c r="D292" s="4"/>
      <c r="X292" s="4"/>
      <c r="AC292" s="4"/>
      <c r="AH292" s="4"/>
    </row>
    <row r="293" spans="1:34" s="26" customFormat="1">
      <c r="A293" s="4"/>
      <c r="B293" s="4"/>
      <c r="C293" s="4"/>
      <c r="D293" s="4"/>
      <c r="X293" s="4"/>
      <c r="AC293" s="4"/>
      <c r="AH293" s="4"/>
    </row>
    <row r="294" spans="1:34" s="26" customFormat="1">
      <c r="A294" s="4"/>
      <c r="B294" s="4"/>
      <c r="C294" s="4"/>
      <c r="D294" s="4"/>
      <c r="X294" s="4"/>
      <c r="AC294" s="4"/>
      <c r="AH294" s="4"/>
    </row>
    <row r="295" spans="1:34" s="26" customFormat="1">
      <c r="A295" s="4"/>
      <c r="B295" s="4"/>
      <c r="C295" s="4"/>
      <c r="D295" s="4"/>
      <c r="X295" s="4"/>
      <c r="AC295" s="4"/>
      <c r="AH295" s="4"/>
    </row>
    <row r="296" spans="1:34" s="26" customFormat="1">
      <c r="A296" s="4"/>
      <c r="B296" s="4"/>
      <c r="C296" s="4"/>
      <c r="D296" s="4"/>
      <c r="X296" s="4"/>
      <c r="AC296" s="4"/>
      <c r="AH296" s="4"/>
    </row>
    <row r="297" spans="1:34" s="26" customFormat="1">
      <c r="A297" s="4"/>
      <c r="B297" s="4"/>
      <c r="C297" s="4"/>
      <c r="D297" s="4"/>
      <c r="X297" s="4"/>
      <c r="AC297" s="4"/>
      <c r="AH297" s="4"/>
    </row>
    <row r="298" spans="1:34" s="26" customFormat="1">
      <c r="A298" s="4"/>
      <c r="B298" s="4"/>
      <c r="C298" s="4"/>
      <c r="D298" s="4"/>
      <c r="X298" s="4"/>
      <c r="AC298" s="4"/>
      <c r="AH298" s="4"/>
    </row>
    <row r="299" spans="1:34" s="26" customFormat="1">
      <c r="A299" s="4"/>
      <c r="B299" s="4"/>
      <c r="C299" s="4"/>
      <c r="D299" s="4"/>
      <c r="X299" s="4"/>
      <c r="AC299" s="4"/>
      <c r="AH299" s="4"/>
    </row>
    <row r="300" spans="1:34" s="26" customFormat="1">
      <c r="A300" s="4"/>
      <c r="B300" s="4"/>
      <c r="C300" s="4"/>
      <c r="D300" s="4"/>
      <c r="X300" s="4"/>
      <c r="AC300" s="4"/>
      <c r="AH300" s="4"/>
    </row>
    <row r="301" spans="1:34" s="26" customFormat="1">
      <c r="A301" s="4"/>
      <c r="B301" s="4"/>
      <c r="C301" s="4"/>
      <c r="D301" s="4"/>
      <c r="X301" s="4"/>
      <c r="AC301" s="4"/>
      <c r="AH301" s="4"/>
    </row>
    <row r="302" spans="1:34" s="26" customFormat="1">
      <c r="A302" s="4"/>
      <c r="B302" s="4"/>
      <c r="C302" s="4"/>
      <c r="D302" s="4"/>
      <c r="X302" s="4"/>
      <c r="AC302" s="4"/>
      <c r="AH302" s="4"/>
    </row>
    <row r="303" spans="1:34" s="26" customFormat="1">
      <c r="A303" s="4"/>
      <c r="B303" s="4"/>
      <c r="C303" s="4"/>
      <c r="D303" s="4"/>
      <c r="X303" s="4"/>
      <c r="AC303" s="4"/>
      <c r="AH303" s="4"/>
    </row>
    <row r="304" spans="1:34" s="26" customFormat="1">
      <c r="A304" s="4"/>
      <c r="B304" s="4"/>
      <c r="C304" s="4"/>
      <c r="D304" s="4"/>
      <c r="X304" s="4"/>
      <c r="AC304" s="4"/>
      <c r="AH304" s="4"/>
    </row>
    <row r="305" spans="1:34" s="26" customFormat="1">
      <c r="A305" s="4"/>
      <c r="B305" s="4"/>
      <c r="C305" s="4"/>
      <c r="D305" s="4"/>
      <c r="X305" s="4"/>
      <c r="AC305" s="4"/>
      <c r="AH305" s="4"/>
    </row>
    <row r="306" spans="1:34" s="26" customFormat="1">
      <c r="A306" s="4"/>
      <c r="B306" s="4"/>
      <c r="C306" s="4"/>
      <c r="D306" s="4"/>
      <c r="X306" s="4"/>
      <c r="AC306" s="4"/>
      <c r="AH306" s="4"/>
    </row>
    <row r="307" spans="1:34" s="26" customFormat="1">
      <c r="A307" s="4"/>
      <c r="B307" s="4"/>
      <c r="C307" s="4"/>
      <c r="D307" s="4"/>
      <c r="X307" s="4"/>
      <c r="AC307" s="4"/>
      <c r="AH307" s="4"/>
    </row>
    <row r="308" spans="1:34" s="26" customFormat="1">
      <c r="A308" s="4"/>
      <c r="B308" s="4"/>
      <c r="C308" s="4"/>
      <c r="D308" s="4"/>
      <c r="X308" s="4"/>
      <c r="AC308" s="4"/>
      <c r="AH308" s="4"/>
    </row>
    <row r="309" spans="1:34" s="26" customFormat="1">
      <c r="A309" s="4"/>
      <c r="B309" s="4"/>
      <c r="C309" s="4"/>
      <c r="D309" s="4"/>
      <c r="X309" s="4"/>
      <c r="AC309" s="4"/>
      <c r="AH309" s="4"/>
    </row>
    <row r="310" spans="1:34" s="26" customFormat="1">
      <c r="A310" s="4"/>
      <c r="B310" s="4"/>
      <c r="C310" s="4"/>
      <c r="D310" s="4"/>
      <c r="X310" s="4"/>
      <c r="AC310" s="4"/>
      <c r="AH310" s="4"/>
    </row>
    <row r="311" spans="1:34" s="26" customFormat="1">
      <c r="A311" s="4"/>
      <c r="B311" s="4"/>
      <c r="C311" s="4"/>
      <c r="D311" s="4"/>
      <c r="X311" s="4"/>
      <c r="AC311" s="4"/>
      <c r="AH311" s="4"/>
    </row>
    <row r="312" spans="1:34" s="26" customFormat="1">
      <c r="A312" s="4"/>
      <c r="B312" s="4"/>
      <c r="C312" s="4"/>
      <c r="D312" s="4"/>
      <c r="X312" s="4"/>
      <c r="AC312" s="4"/>
      <c r="AH312" s="4"/>
    </row>
    <row r="313" spans="1:34" s="26" customFormat="1">
      <c r="A313" s="4"/>
      <c r="B313" s="4"/>
      <c r="C313" s="4"/>
      <c r="D313" s="4"/>
      <c r="X313" s="4"/>
      <c r="AC313" s="4"/>
      <c r="AH313" s="4"/>
    </row>
    <row r="314" spans="1:34" s="26" customFormat="1">
      <c r="A314" s="4"/>
      <c r="B314" s="4"/>
      <c r="C314" s="4"/>
      <c r="D314" s="4"/>
      <c r="X314" s="4"/>
      <c r="AC314" s="4"/>
      <c r="AH314" s="4"/>
    </row>
    <row r="315" spans="1:34" s="26" customFormat="1">
      <c r="A315" s="4"/>
      <c r="B315" s="4"/>
      <c r="C315" s="4"/>
      <c r="D315" s="4"/>
      <c r="X315" s="4"/>
      <c r="AC315" s="4"/>
      <c r="AH315" s="4"/>
    </row>
    <row r="316" spans="1:34" s="26" customFormat="1">
      <c r="A316" s="4"/>
      <c r="B316" s="4"/>
      <c r="C316" s="4"/>
      <c r="D316" s="4"/>
      <c r="X316" s="4"/>
      <c r="AC316" s="4"/>
      <c r="AH316" s="4"/>
    </row>
    <row r="317" spans="1:34" s="26" customFormat="1">
      <c r="A317" s="4"/>
      <c r="B317" s="4"/>
      <c r="C317" s="4"/>
      <c r="D317" s="4"/>
      <c r="X317" s="4"/>
      <c r="AC317" s="4"/>
      <c r="AH317" s="4"/>
    </row>
    <row r="318" spans="1:34" s="26" customFormat="1">
      <c r="A318" s="4"/>
      <c r="B318" s="4"/>
      <c r="C318" s="4"/>
      <c r="D318" s="4"/>
      <c r="X318" s="4"/>
      <c r="AC318" s="4"/>
      <c r="AH318" s="4"/>
    </row>
    <row r="319" spans="1:34" s="26" customFormat="1">
      <c r="A319" s="4"/>
      <c r="B319" s="4"/>
      <c r="C319" s="4"/>
      <c r="D319" s="4"/>
      <c r="X319" s="4"/>
      <c r="AC319" s="4"/>
      <c r="AH319" s="4"/>
    </row>
    <row r="320" spans="1:34" s="26" customFormat="1">
      <c r="A320" s="4"/>
      <c r="B320" s="4"/>
      <c r="C320" s="4"/>
      <c r="D320" s="4"/>
      <c r="X320" s="4"/>
      <c r="AC320" s="4"/>
      <c r="AH320" s="4"/>
    </row>
    <row r="321" spans="1:34" s="26" customFormat="1">
      <c r="A321" s="4"/>
      <c r="B321" s="4"/>
      <c r="C321" s="4"/>
      <c r="D321" s="4"/>
      <c r="X321" s="4"/>
      <c r="AC321" s="4"/>
      <c r="AH321" s="4"/>
    </row>
    <row r="322" spans="1:34" s="26" customFormat="1">
      <c r="A322" s="4"/>
      <c r="B322" s="4"/>
      <c r="C322" s="4"/>
      <c r="D322" s="4"/>
      <c r="X322" s="4"/>
      <c r="AC322" s="4"/>
      <c r="AH322" s="4"/>
    </row>
    <row r="323" spans="1:34" s="26" customFormat="1">
      <c r="A323" s="4"/>
      <c r="B323" s="4"/>
      <c r="C323" s="4"/>
      <c r="D323" s="4"/>
      <c r="X323" s="4"/>
      <c r="AC323" s="4"/>
      <c r="AH323" s="4"/>
    </row>
    <row r="324" spans="1:34" s="26" customFormat="1">
      <c r="A324" s="4"/>
      <c r="B324" s="4"/>
      <c r="C324" s="4"/>
      <c r="D324" s="4"/>
      <c r="X324" s="4"/>
      <c r="AC324" s="4"/>
      <c r="AH324" s="4"/>
    </row>
    <row r="325" spans="1:34" s="26" customFormat="1">
      <c r="A325" s="4"/>
      <c r="B325" s="4"/>
      <c r="C325" s="4"/>
      <c r="D325" s="4"/>
      <c r="X325" s="4"/>
      <c r="AC325" s="4"/>
      <c r="AH325" s="4"/>
    </row>
    <row r="326" spans="1:34" s="26" customFormat="1">
      <c r="A326" s="4"/>
      <c r="B326" s="4"/>
      <c r="C326" s="4"/>
      <c r="D326" s="4"/>
      <c r="X326" s="4"/>
      <c r="AC326" s="4"/>
      <c r="AH326" s="4"/>
    </row>
    <row r="327" spans="1:34" s="26" customFormat="1">
      <c r="A327" s="4"/>
      <c r="B327" s="4"/>
      <c r="C327" s="4"/>
      <c r="D327" s="4"/>
      <c r="X327" s="4"/>
      <c r="AC327" s="4"/>
      <c r="AH327" s="4"/>
    </row>
    <row r="328" spans="1:34" s="26" customFormat="1">
      <c r="A328" s="4"/>
      <c r="B328" s="4"/>
      <c r="C328" s="4"/>
      <c r="D328" s="4"/>
      <c r="X328" s="4"/>
      <c r="AC328" s="4"/>
      <c r="AH328" s="4"/>
    </row>
    <row r="329" spans="1:34" s="26" customFormat="1">
      <c r="A329" s="4"/>
      <c r="B329" s="4"/>
      <c r="C329" s="4"/>
      <c r="D329" s="4"/>
      <c r="X329" s="4"/>
      <c r="AC329" s="4"/>
      <c r="AH329" s="4"/>
    </row>
    <row r="330" spans="1:34" s="26" customFormat="1">
      <c r="A330" s="4"/>
      <c r="B330" s="4"/>
      <c r="C330" s="4"/>
      <c r="D330" s="4"/>
      <c r="X330" s="4"/>
      <c r="AC330" s="4"/>
      <c r="AH330" s="4"/>
    </row>
    <row r="331" spans="1:34" s="26" customFormat="1">
      <c r="A331" s="4"/>
      <c r="B331" s="4"/>
      <c r="C331" s="4"/>
      <c r="D331" s="4"/>
      <c r="X331" s="4"/>
      <c r="AC331" s="4"/>
      <c r="AH331" s="4"/>
    </row>
    <row r="332" spans="1:34" s="26" customFormat="1">
      <c r="A332" s="4"/>
      <c r="B332" s="4"/>
      <c r="C332" s="4"/>
      <c r="D332" s="4"/>
      <c r="X332" s="4"/>
      <c r="AC332" s="4"/>
      <c r="AH332" s="4"/>
    </row>
    <row r="333" spans="1:34" s="26" customFormat="1">
      <c r="A333" s="4"/>
      <c r="B333" s="4"/>
      <c r="C333" s="4"/>
      <c r="D333" s="4"/>
      <c r="X333" s="4"/>
      <c r="AC333" s="4"/>
      <c r="AH333" s="4"/>
    </row>
    <row r="334" spans="1:34" s="26" customFormat="1">
      <c r="A334" s="4"/>
      <c r="B334" s="4"/>
      <c r="C334" s="4"/>
      <c r="D334" s="4"/>
      <c r="X334" s="4"/>
      <c r="AC334" s="4"/>
      <c r="AH334" s="4"/>
    </row>
    <row r="335" spans="1:34" s="26" customFormat="1">
      <c r="A335" s="4"/>
      <c r="B335" s="4"/>
      <c r="C335" s="4"/>
      <c r="D335" s="4"/>
      <c r="X335" s="4"/>
      <c r="AC335" s="4"/>
      <c r="AH335" s="4"/>
    </row>
    <row r="336" spans="1:34" s="26" customFormat="1">
      <c r="A336" s="4"/>
      <c r="B336" s="4"/>
      <c r="C336" s="4"/>
      <c r="D336" s="4"/>
      <c r="X336" s="4"/>
      <c r="AC336" s="4"/>
      <c r="AH336" s="4"/>
    </row>
    <row r="337" spans="1:34" s="26" customFormat="1">
      <c r="A337" s="4"/>
      <c r="B337" s="4"/>
      <c r="C337" s="4"/>
      <c r="D337" s="4"/>
      <c r="X337" s="4"/>
      <c r="AC337" s="4"/>
      <c r="AH337" s="4"/>
    </row>
    <row r="338" spans="1:34" s="26" customFormat="1">
      <c r="A338" s="4"/>
      <c r="B338" s="4"/>
      <c r="C338" s="4"/>
      <c r="D338" s="4"/>
      <c r="X338" s="4"/>
      <c r="AC338" s="4"/>
      <c r="AH338" s="4"/>
    </row>
  </sheetData>
  <hyperlinks>
    <hyperlink ref="G2" r:id="rId1" xr:uid="{98963B59-6C9D-4EF8-A87D-B3846BA7FB07}"/>
    <hyperlink ref="M2" r:id="rId2" xr:uid="{7C3C01B4-72C5-4EE6-B8ED-3DD4E6F5F7FA}"/>
    <hyperlink ref="G3:G51" r:id="rId3" display="https://www.kff.org/state-health-policy-data/state-indicator/total-population/?currentTimeframe=0&amp;sortModel=%7B%22colId%22:%22Location%22,%22sort%22:%22asc%22%7D" xr:uid="{4F9DEACE-2A71-44CF-AF94-E4959C7F8B52}"/>
    <hyperlink ref="M3:M51" r:id="rId4" display="https://www.kff.org/state-health-policy-data/state-indicator/total-population/?currentTimeframe=0&amp;sortModel=%7B%22colId%22:%22Location%22,%22sort%22:%22asc%22%7D" xr:uid="{92975CBD-F6C2-4DB0-8625-6BE8E8253540}"/>
    <hyperlink ref="J2" r:id="rId5" xr:uid="{F037861F-9110-4A94-B4DE-4521A45D7921}"/>
    <hyperlink ref="J3" r:id="rId6" xr:uid="{15707BB5-7387-4891-95C1-A397237F9A67}"/>
    <hyperlink ref="J4" r:id="rId7" xr:uid="{7702A169-B939-4DEE-8A52-0C5B103AD9BB}"/>
    <hyperlink ref="J6" r:id="rId8" xr:uid="{084D102A-3F57-4B8B-9207-17C32A4083BA}"/>
    <hyperlink ref="J8" r:id="rId9" xr:uid="{92B9B6CF-815F-4105-969D-D51C673A96F0}"/>
    <hyperlink ref="J10" r:id="rId10" xr:uid="{566275E8-03BE-4BDB-B2A8-51D6D9ED1222}"/>
    <hyperlink ref="J12" r:id="rId11" xr:uid="{7F209B3C-89E7-4C14-B89A-8B2A0CCC332F}"/>
    <hyperlink ref="J14" r:id="rId12" xr:uid="{B18C4D7A-5DEB-46FA-A46F-2434CA2168BD}"/>
    <hyperlink ref="J16" r:id="rId13" xr:uid="{312CD19A-E3B0-41E9-9108-442C32ED26C0}"/>
    <hyperlink ref="J18" r:id="rId14" xr:uid="{21FCB30C-2232-4B9C-8CE3-68ED8C8F8248}"/>
    <hyperlink ref="J20" r:id="rId15" xr:uid="{09FE1F98-0A2C-4A97-AC53-A7F534D5A890}"/>
    <hyperlink ref="J22" r:id="rId16" xr:uid="{E536D75A-60B5-4B24-ADC2-57D0C05DCB02}"/>
    <hyperlink ref="J24" r:id="rId17" xr:uid="{37888EFA-4EB9-4857-AFD3-D14944D4896B}"/>
    <hyperlink ref="J26" r:id="rId18" xr:uid="{7E7556D3-EB3A-4E52-8504-C8F6E90DCEDB}"/>
    <hyperlink ref="J28" r:id="rId19" xr:uid="{E8688EBF-C05E-479B-B357-F30FAFDE52C3}"/>
    <hyperlink ref="J30" r:id="rId20" xr:uid="{0EABAB21-3BE1-4716-9DE2-21433823C7E6}"/>
    <hyperlink ref="J32" r:id="rId21" xr:uid="{CC1AF343-E352-45A5-8BBC-9C50217FD2A0}"/>
    <hyperlink ref="J34" r:id="rId22" xr:uid="{EE1E3D3E-6E4E-489D-B99A-3407D05B3008}"/>
    <hyperlink ref="J36" r:id="rId23" xr:uid="{110E2D5F-92F2-4AA4-9D79-7A965E067134}"/>
    <hyperlink ref="J38" r:id="rId24" xr:uid="{583EE0E9-6978-4B5A-AC1F-FC0F262C948F}"/>
    <hyperlink ref="J40" r:id="rId25" xr:uid="{14391C3F-3198-4DAB-9736-41A5286D8C2C}"/>
    <hyperlink ref="J42" r:id="rId26" xr:uid="{AEC268A3-5B56-4D80-A219-F00C27EA5FC3}"/>
    <hyperlink ref="J44" r:id="rId27" xr:uid="{3E0107B0-FB23-45D5-948A-08A72B4D3B95}"/>
    <hyperlink ref="J46" r:id="rId28" xr:uid="{1240B3D9-B428-4245-A613-62B13680AA83}"/>
    <hyperlink ref="J48" r:id="rId29" xr:uid="{FCAC0C7B-74F0-4E2C-929E-98E3B8EE8590}"/>
    <hyperlink ref="J50" r:id="rId30" xr:uid="{96E9EE1F-9897-4D28-BB39-2EA2740CADB8}"/>
    <hyperlink ref="J5" r:id="rId31" xr:uid="{03955ED9-CEF0-4FD9-9C4A-FB72A6EEF7E5}"/>
    <hyperlink ref="J7" r:id="rId32" xr:uid="{9C3125B4-0CB6-408B-A37F-C0C6883C956B}"/>
    <hyperlink ref="J9" r:id="rId33" xr:uid="{9780560A-89E7-418D-955D-A62C2B6AE854}"/>
    <hyperlink ref="J11" r:id="rId34" xr:uid="{68BA706F-34E7-435E-A92D-5FDDFD002CB0}"/>
    <hyperlink ref="J13" r:id="rId35" xr:uid="{61D69E5C-5C2E-4704-A5DA-B0BFF1923BAD}"/>
    <hyperlink ref="J15" r:id="rId36" xr:uid="{E6D2CC0B-12FA-4CE3-A3FA-F425DBF9F93F}"/>
    <hyperlink ref="J17" r:id="rId37" xr:uid="{B2452FB2-7A6F-402D-8AA3-8D7818766A21}"/>
    <hyperlink ref="J19" r:id="rId38" xr:uid="{598C8E2E-5DD0-4F3D-BC1F-AC75E1465ACD}"/>
    <hyperlink ref="J21" r:id="rId39" xr:uid="{7351C93F-5B95-4279-98F8-9E9F38F5342F}"/>
    <hyperlink ref="J23" r:id="rId40" xr:uid="{F7FA9C62-8E45-4CE4-A96C-7B335BD5F2D9}"/>
    <hyperlink ref="J25" r:id="rId41" xr:uid="{89ACD5F4-699B-49F8-BCD2-A3866FF79373}"/>
    <hyperlink ref="J27" r:id="rId42" xr:uid="{C38E1E45-3490-407B-A938-E3D953B8E985}"/>
    <hyperlink ref="J29" r:id="rId43" xr:uid="{960802BE-1179-4523-84E4-84FFFF31C921}"/>
    <hyperlink ref="J31" r:id="rId44" xr:uid="{AC2099C0-EF7E-48EC-BD63-9033F8E2D09E}"/>
    <hyperlink ref="J33" r:id="rId45" xr:uid="{B789990F-F704-4DE2-A8A4-10B425D22A3C}"/>
    <hyperlink ref="J35" r:id="rId46" xr:uid="{F52D4B5C-CA80-40EC-80C5-BFE763EB3EF6}"/>
    <hyperlink ref="J37" r:id="rId47" xr:uid="{995E95F5-44E9-48F2-ADB4-CAA7D78CF1CE}"/>
    <hyperlink ref="J39" r:id="rId48" xr:uid="{01343BB4-4511-4B12-ADD9-CF282ECA1B48}"/>
    <hyperlink ref="J41" r:id="rId49" xr:uid="{908B18CE-AE13-4943-A68B-C1DB8C5658F4}"/>
    <hyperlink ref="J43" r:id="rId50" xr:uid="{3C5F085A-9A98-407C-9D81-4BEAB0E7C5C5}"/>
    <hyperlink ref="J45" r:id="rId51" xr:uid="{B95AD012-99F6-4C66-960F-F4BEFA2A872A}"/>
    <hyperlink ref="J47" r:id="rId52" xr:uid="{56E81BAF-FF80-4BFB-8ACC-4EDF92239F23}"/>
    <hyperlink ref="J49" r:id="rId53" xr:uid="{DC4F9902-B803-4D05-B6D7-5CD792610E32}"/>
    <hyperlink ref="J51" r:id="rId54" xr:uid="{E5DE0C7F-CE3D-4BE0-B27E-36BEF2B0FF36}"/>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53baed8-2189-4f35-b616-d93166055c43">
      <Terms xmlns="http://schemas.microsoft.com/office/infopath/2007/PartnerControls"/>
    </lcf76f155ced4ddcb4097134ff3c332f>
    <TaxCatchAll xmlns="7d5ecbd1-c270-4c00-8caa-97068244892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B5618E4E265DB4AB8BD7C18939696EF" ma:contentTypeVersion="8" ma:contentTypeDescription="Create a new document." ma:contentTypeScope="" ma:versionID="de0687df3f78c6c7f89606c849bfe113">
  <xsd:schema xmlns:xsd="http://www.w3.org/2001/XMLSchema" xmlns:xs="http://www.w3.org/2001/XMLSchema" xmlns:p="http://schemas.microsoft.com/office/2006/metadata/properties" xmlns:ns2="953baed8-2189-4f35-b616-d93166055c43" xmlns:ns3="7d5ecbd1-c270-4c00-8caa-97068244892c" targetNamespace="http://schemas.microsoft.com/office/2006/metadata/properties" ma:root="true" ma:fieldsID="51c4046489506ef8ba23f55f5ea6ef6c" ns2:_="" ns3:_="">
    <xsd:import namespace="953baed8-2189-4f35-b616-d93166055c43"/>
    <xsd:import namespace="7d5ecbd1-c270-4c00-8caa-97068244892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3baed8-2189-4f35-b616-d93166055c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ad3672e-4f06-4624-8734-b96e843e825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5ecbd1-c270-4c00-8caa-97068244892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78583ad-7704-48a0-bc69-4aebcabf1ea7}" ma:internalName="TaxCatchAll" ma:showField="CatchAllData" ma:web="7d5ecbd1-c270-4c00-8caa-9706824489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510841-0CAF-43A3-8DBB-5ABAA6AACFDF}"/>
</file>

<file path=customXml/itemProps2.xml><?xml version="1.0" encoding="utf-8"?>
<ds:datastoreItem xmlns:ds="http://schemas.openxmlformats.org/officeDocument/2006/customXml" ds:itemID="{68977E87-9C5D-4D6E-9F10-393C3652F048}"/>
</file>

<file path=customXml/itemProps3.xml><?xml version="1.0" encoding="utf-8"?>
<ds:datastoreItem xmlns:ds="http://schemas.openxmlformats.org/officeDocument/2006/customXml" ds:itemID="{5FC4C8DD-BC0B-486B-833B-CB9C891D7B23}"/>
</file>

<file path=docMetadata/LabelInfo.xml><?xml version="1.0" encoding="utf-8"?>
<clbl:labelList xmlns:clbl="http://schemas.microsoft.com/office/2020/mipLabelMetadata">
  <clbl:label id="{b4db6a6d-cf3b-450d-9483-e5c853d931d2}" enabled="1" method="Standard" siteId="{ecabf4f5-0dbc-4f2c-b80e-99d3aa5f44b6}"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Daniela Casas</dc:creator>
  <cp:keywords/>
  <dc:description/>
  <cp:lastModifiedBy>Lindsey Johnson</cp:lastModifiedBy>
  <cp:revision/>
  <dcterms:created xsi:type="dcterms:W3CDTF">2025-10-07T21:53:49Z</dcterms:created>
  <dcterms:modified xsi:type="dcterms:W3CDTF">2026-03-06T22:42:36Z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0x010100BB5618E4E265DB4AB8BD7C18939696EF</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{"FileActivityType":"9","FileActivityTimeStamp":"2025-10-08T01:46:29.147Z","FileActivityUsersOnPage":[{"DisplayName":"Daniela Casas","Id":"daniela.casas@dalberg.com"}],"FileActivityNavigationId":null}</vt:lpwstr>
  </property>
  <property fmtid="{D5CDD505-2E9C-101B-9397-08002B2CF9AE}" pid="6" name="TriggerFlowInfo">
    <vt:lpwstr/>
  </property>
  <property fmtid="{D5CDD505-2E9C-101B-9397-08002B2CF9AE}" pid="7" name="MediaServiceImageTags">
    <vt:lpwstr/>
  </property>
</Properties>
</file>